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5120" windowHeight="8010"/>
  </bookViews>
  <sheets>
    <sheet name="Berekening" sheetId="1" r:id="rId1"/>
    <sheet name="A-line 1" sheetId="2" r:id="rId2"/>
    <sheet name="B-line2" sheetId="3" r:id="rId3"/>
    <sheet name="C-line3" sheetId="4" r:id="rId4"/>
    <sheet name="D-line4" sheetId="5" r:id="rId5"/>
    <sheet name="Blad1" sheetId="6" r:id="rId6"/>
  </sheets>
  <definedNames>
    <definedName name="Z_876355DF_79E3_40AB_8C38_8BD12F3CBB47_.wvu.Cols" localSheetId="0" hidden="1">Berekening!#REF!</definedName>
  </definedNames>
  <calcPr calcId="145621"/>
</workbook>
</file>

<file path=xl/calcChain.xml><?xml version="1.0" encoding="utf-8"?>
<calcChain xmlns="http://schemas.openxmlformats.org/spreadsheetml/2006/main">
  <c r="C16" i="1" l="1"/>
  <c r="C42" i="5"/>
  <c r="D38" i="5"/>
  <c r="C46" i="5" s="1"/>
  <c r="C16" i="5"/>
  <c r="C14" i="5"/>
  <c r="L19" i="1" s="1"/>
  <c r="C42" i="4"/>
  <c r="D38" i="4"/>
  <c r="C46" i="4" s="1"/>
  <c r="C16" i="4"/>
  <c r="C14" i="4"/>
  <c r="L18" i="1" s="1"/>
  <c r="C42" i="3"/>
  <c r="D38" i="3"/>
  <c r="C46" i="3" s="1"/>
  <c r="C16" i="3"/>
  <c r="C14" i="3"/>
  <c r="L17" i="1" s="1"/>
  <c r="C45" i="2"/>
  <c r="D41" i="2"/>
  <c r="C49" i="2" s="1"/>
  <c r="C19" i="2"/>
  <c r="C17" i="2"/>
  <c r="C27" i="1"/>
  <c r="C13" i="5" s="1"/>
  <c r="C23" i="1"/>
  <c r="C12" i="4" s="1"/>
  <c r="E19" i="1"/>
  <c r="C19" i="1"/>
  <c r="E18" i="1"/>
  <c r="C18" i="1"/>
  <c r="H18" i="1" s="1"/>
  <c r="C10" i="4" s="1"/>
  <c r="J30" i="4" s="1"/>
  <c r="E17" i="1"/>
  <c r="C17" i="1"/>
  <c r="E16" i="1"/>
  <c r="C13" i="4" l="1"/>
  <c r="C12" i="5"/>
  <c r="H27" i="1"/>
  <c r="J29" i="4"/>
  <c r="D31" i="4"/>
  <c r="C15" i="4" s="1"/>
  <c r="C19" i="4" s="1"/>
  <c r="H32" i="4" s="1"/>
  <c r="K18" i="1" s="1"/>
  <c r="J18" i="1"/>
  <c r="H17" i="1"/>
  <c r="C10" i="3" s="1"/>
  <c r="J29" i="3" s="1"/>
  <c r="L16" i="1"/>
  <c r="H16" i="1"/>
  <c r="C13" i="2" s="1"/>
  <c r="J32" i="2" s="1"/>
  <c r="C13" i="3"/>
  <c r="H19" i="1"/>
  <c r="C10" i="5" s="1"/>
  <c r="J29" i="5" s="1"/>
  <c r="D37" i="4"/>
  <c r="C43" i="4"/>
  <c r="C15" i="2"/>
  <c r="C16" i="2"/>
  <c r="C12" i="3"/>
  <c r="D31" i="3" l="1"/>
  <c r="C15" i="3" s="1"/>
  <c r="C19" i="3" s="1"/>
  <c r="D31" i="5"/>
  <c r="C15" i="5" s="1"/>
  <c r="C19" i="5" s="1"/>
  <c r="H32" i="5" s="1"/>
  <c r="K19" i="1" s="1"/>
  <c r="D34" i="2"/>
  <c r="C18" i="2" s="1"/>
  <c r="C22" i="2" s="1"/>
  <c r="D29" i="5"/>
  <c r="D29" i="4"/>
  <c r="D37" i="3"/>
  <c r="D40" i="2"/>
  <c r="J16" i="1"/>
  <c r="C43" i="3"/>
  <c r="C43" i="5"/>
  <c r="C46" i="2"/>
  <c r="D32" i="2"/>
  <c r="D37" i="5"/>
  <c r="C24" i="4"/>
  <c r="D24" i="4" s="1"/>
  <c r="C21" i="4"/>
  <c r="D21" i="4" s="1"/>
  <c r="C21" i="3" l="1"/>
  <c r="D21" i="3" s="1"/>
  <c r="H32" i="3"/>
  <c r="K17" i="1" s="1"/>
  <c r="J19" i="1"/>
  <c r="D29" i="3"/>
  <c r="J17" i="1"/>
  <c r="C21" i="5"/>
  <c r="D21" i="5" s="1"/>
  <c r="C24" i="2"/>
  <c r="C22" i="4"/>
  <c r="D22" i="4" s="1"/>
  <c r="C22" i="3" l="1"/>
  <c r="D22" i="3" s="1"/>
  <c r="D24" i="2"/>
  <c r="H35" i="2"/>
  <c r="K16" i="1" s="1"/>
  <c r="C22" i="5"/>
  <c r="D22" i="5" s="1"/>
  <c r="C23" i="3"/>
  <c r="C24" i="3" s="1"/>
  <c r="D24" i="3" s="1"/>
  <c r="C25" i="2"/>
  <c r="D25" i="2" s="1"/>
  <c r="C23" i="4"/>
  <c r="C23" i="5" l="1"/>
  <c r="C24" i="5" s="1"/>
  <c r="D24" i="5" s="1"/>
  <c r="D23" i="4"/>
  <c r="D26" i="4" s="1"/>
  <c r="H9" i="4" s="1"/>
  <c r="D23" i="3"/>
  <c r="D26" i="3" s="1"/>
  <c r="H9" i="3" s="1"/>
  <c r="C26" i="2"/>
  <c r="D26" i="2" l="1"/>
  <c r="C27" i="2"/>
  <c r="D27" i="2" s="1"/>
  <c r="D29" i="2" s="1"/>
  <c r="H12" i="2" s="1"/>
  <c r="H16" i="2" s="1"/>
  <c r="C47" i="2" s="1"/>
  <c r="D23" i="5"/>
  <c r="D26" i="5" s="1"/>
  <c r="H9" i="5" s="1"/>
  <c r="H13" i="5" s="1"/>
  <c r="M18" i="1"/>
  <c r="H13" i="4"/>
  <c r="M17" i="1"/>
  <c r="H13" i="3"/>
  <c r="C44" i="3" l="1"/>
  <c r="C48" i="3" s="1"/>
  <c r="C44" i="4"/>
  <c r="C48" i="4" s="1"/>
  <c r="N18" i="1" s="1"/>
  <c r="P18" i="1" s="1"/>
  <c r="C44" i="5"/>
  <c r="C48" i="5" s="1"/>
  <c r="D48" i="5" s="1"/>
  <c r="M19" i="1"/>
  <c r="M16" i="1"/>
  <c r="C51" i="2"/>
  <c r="N16" i="1" s="1"/>
  <c r="P16" i="1" s="1"/>
  <c r="R18" i="1" l="1"/>
  <c r="S18" i="1" s="1"/>
  <c r="Q18" i="1"/>
  <c r="D48" i="3"/>
  <c r="N17" i="1"/>
  <c r="N19" i="1"/>
  <c r="D48" i="4"/>
  <c r="D51" i="2"/>
  <c r="P17" i="1" l="1"/>
  <c r="R17" i="1" s="1"/>
  <c r="S17" i="1" s="1"/>
  <c r="P19" i="1"/>
  <c r="R19" i="1" s="1"/>
  <c r="S19" i="1" s="1"/>
  <c r="R16" i="1"/>
  <c r="S16" i="1" s="1"/>
  <c r="Q16" i="1"/>
  <c r="Q17" i="1" l="1"/>
  <c r="Q19" i="1"/>
</calcChain>
</file>

<file path=xl/comments1.xml><?xml version="1.0" encoding="utf-8"?>
<comments xmlns="http://schemas.openxmlformats.org/spreadsheetml/2006/main">
  <authors>
    <author>Administrator</author>
  </authors>
  <commentList>
    <comment ref="C8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10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Invullen Ja of Nee
</t>
        </r>
      </text>
    </comment>
  </commentList>
</comments>
</file>

<file path=xl/sharedStrings.xml><?xml version="1.0" encoding="utf-8"?>
<sst xmlns="http://schemas.openxmlformats.org/spreadsheetml/2006/main" count="268" uniqueCount="116">
  <si>
    <t xml:space="preserve">Dit sheet geeft slechts een indicatie en uitkomsten zijn op generlei wijze gegarandeerd </t>
  </si>
  <si>
    <t>Vergelijk eenvoudig de netto besteedbare inkomens bij 4 verschillende omzetten</t>
  </si>
  <si>
    <t>Alleen de witte vlakken invullen/wijzigen</t>
  </si>
  <si>
    <t xml:space="preserve">In de tabbladen kan je ook de details van de belastingtarieven terug zien)  </t>
  </si>
  <si>
    <t>(Bedrijfskosten moet je zelf even uitrekenen en in een percentage aangeven)</t>
  </si>
  <si>
    <t>Omzet Bruto</t>
  </si>
  <si>
    <t>Bedrijfskosten</t>
  </si>
  <si>
    <t>pj</t>
  </si>
  <si>
    <t>Entrée</t>
  </si>
  <si>
    <t>Netto</t>
  </si>
  <si>
    <t>FOR</t>
  </si>
  <si>
    <t>Belast</t>
  </si>
  <si>
    <t>na-belasting</t>
  </si>
  <si>
    <t>aov</t>
  </si>
  <si>
    <t>Besteedbaar</t>
  </si>
  <si>
    <t>(inkoop etc)</t>
  </si>
  <si>
    <t>%</t>
  </si>
  <si>
    <t>winst uit</t>
  </si>
  <si>
    <t>en FOR</t>
  </si>
  <si>
    <t>onderneming</t>
  </si>
  <si>
    <t>per jaar</t>
  </si>
  <si>
    <t>per maand</t>
  </si>
  <si>
    <t>A</t>
  </si>
  <si>
    <t>B</t>
  </si>
  <si>
    <t>C</t>
  </si>
  <si>
    <t>D</t>
  </si>
  <si>
    <t>Hypotheek</t>
  </si>
  <si>
    <t>WOZ Waarde</t>
  </si>
  <si>
    <t>&lt;&lt;invullen</t>
  </si>
  <si>
    <t>Eigenwoning forfait</t>
  </si>
  <si>
    <t>Alles is ex BTW</t>
  </si>
  <si>
    <t>Hypotheekbedrag</t>
  </si>
  <si>
    <t>Hypotheekrente</t>
  </si>
  <si>
    <t>Kosten Hypotheek</t>
  </si>
  <si>
    <t>Begrippen:</t>
  </si>
  <si>
    <t>AOV</t>
  </si>
  <si>
    <t>Arbeidsongeschikheids verzekering, kan je afsluiten (of zelf sparen)</t>
  </si>
  <si>
    <t>ca. 100-200 EUR pmnd</t>
  </si>
  <si>
    <t>Zelfstandigen aftrek</t>
  </si>
  <si>
    <t xml:space="preserve"> Aflopend bedrag dat je als zelfstandig ondernemer mag aftrekken (zie tab A-line)</t>
  </si>
  <si>
    <t>StartersAftrek</t>
  </si>
  <si>
    <t xml:space="preserve"> In de eerste jaren mag je 3 x een beroep doen op de startersaftrek als je een echte starter bent volgens de belastingdienst</t>
  </si>
  <si>
    <t>Extra aftrekposten zoals Allimentatie ed kan je het beste bij de kolom AOV invullen</t>
  </si>
  <si>
    <t>Overzicht te verwachten fiscale claim</t>
  </si>
  <si>
    <t>Recht op zelfstandige aftrek:</t>
  </si>
  <si>
    <t>ja</t>
  </si>
  <si>
    <t>Recht op startersaftrek:</t>
  </si>
  <si>
    <t>Doteren FOR:</t>
  </si>
  <si>
    <t>nee</t>
  </si>
  <si>
    <t>Inkomen uit arbeid:</t>
  </si>
  <si>
    <t>Netto belasting:</t>
  </si>
  <si>
    <t>Winst uit onderneming:</t>
  </si>
  <si>
    <t>Inhouding werkgever:</t>
  </si>
  <si>
    <t>Bijtelling auto werkgever:</t>
  </si>
  <si>
    <t>Voorlopige teruggaaf:</t>
  </si>
  <si>
    <t>Bijtelling eigenwoningforfait:</t>
  </si>
  <si>
    <t>Hypotheekrente:</t>
  </si>
  <si>
    <t>Te betalen:</t>
  </si>
  <si>
    <t>Dotatie FOR:</t>
  </si>
  <si>
    <t>Zelfstandigenaftrek:</t>
  </si>
  <si>
    <t>Startersaftrek:</t>
  </si>
  <si>
    <t>Belasting schijven:</t>
  </si>
  <si>
    <t>Grenzen schijven</t>
  </si>
  <si>
    <t>van</t>
  </si>
  <si>
    <t>tot</t>
  </si>
  <si>
    <t>Eerste schijf:</t>
  </si>
  <si>
    <t>Belasting/sociale premies schijf 1:</t>
  </si>
  <si>
    <t>Tweede schijf:</t>
  </si>
  <si>
    <t>Belasting/sociale premies schijf 2:</t>
  </si>
  <si>
    <t>Derde schijf:</t>
  </si>
  <si>
    <t>Belasting schijf 3:</t>
  </si>
  <si>
    <t>Vierde schijf:</t>
  </si>
  <si>
    <t>Belasting schijf 4:</t>
  </si>
  <si>
    <t>Totaal belasting/sociale premies:</t>
  </si>
  <si>
    <t>Algemene heffingskorting:</t>
  </si>
  <si>
    <t>Arbeidskorting:</t>
  </si>
  <si>
    <t>Berekening arbeidskorting:</t>
  </si>
  <si>
    <t xml:space="preserve"> </t>
  </si>
  <si>
    <t>Fiscale oudedagsreserve:</t>
  </si>
  <si>
    <t>Maximale dotatie:</t>
  </si>
  <si>
    <t>Omzetting oudedagsreserve:</t>
  </si>
  <si>
    <t>Samenvatting</t>
  </si>
  <si>
    <t>Inkomsten uitarbeid</t>
  </si>
  <si>
    <t>Te betalen belasting:</t>
  </si>
  <si>
    <t>Prive opname:</t>
  </si>
  <si>
    <t>Reservering FOR:</t>
  </si>
  <si>
    <t>p Maand</t>
  </si>
  <si>
    <t>Algemene reserve:</t>
  </si>
  <si>
    <t>Belastbare som: (incl MKB winstvrijstelling)</t>
  </si>
  <si>
    <t>Belastbare som: (incl 14%  MKB winstvrijstelling)</t>
  </si>
  <si>
    <t>Belastbare som: (incl 14% MKB winstvrijstelling)</t>
  </si>
  <si>
    <t>Arbeidskorting</t>
  </si>
  <si>
    <t>MKB winstvrijstelling: 0ver 14 % van de winst hoef je geen belasting te betalen</t>
  </si>
  <si>
    <t>Reservering die je mag maken voor de oude dag  (hoeft niet, kan wel  )</t>
  </si>
  <si>
    <t xml:space="preserve"> Tot ca.112.500 inkomen krijg je een korting tussen de 100 en 3103 EUR !</t>
  </si>
  <si>
    <t>In de tabbladen (A-D)kunnen de berekeningen bijgesteld worden (o.a. startersaftrek, ondernemersaftrek, FOR)</t>
  </si>
  <si>
    <t>\</t>
  </si>
  <si>
    <t>ZWV bijdrage 2016</t>
  </si>
  <si>
    <t>ZWV bijdrage 2015</t>
  </si>
  <si>
    <t>Zelfstandigenaftrek 2016</t>
  </si>
  <si>
    <t>Startersaftrek 2016</t>
  </si>
  <si>
    <t>Arbeidskorting 2016</t>
  </si>
  <si>
    <t>Algemene heffingskorting 2016</t>
  </si>
  <si>
    <t>Belasting schijven 2016:</t>
  </si>
  <si>
    <t>2016 Belasting/sociale premies schijf 1:</t>
  </si>
  <si>
    <t>Zvw ca.</t>
  </si>
  <si>
    <t>ex BTW</t>
  </si>
  <si>
    <t>korting</t>
  </si>
  <si>
    <t>Arbeids</t>
  </si>
  <si>
    <t>p/m</t>
  </si>
  <si>
    <t>bruto</t>
  </si>
  <si>
    <t>besteedbaar</t>
  </si>
  <si>
    <t>na Hypo</t>
  </si>
  <si>
    <t>Extra</t>
  </si>
  <si>
    <t>Extra.</t>
  </si>
  <si>
    <t>Bekijk of een ander  rente%percentage voor je hyptheek iets oplevert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</si>
</sst>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&quot;€&quot;\ #,##0_-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6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55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i/>
      <sz val="8"/>
      <name val="Arial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7" xfId="0" applyFont="1" applyFill="1" applyBorder="1"/>
    <xf numFmtId="0" fontId="3" fillId="2" borderId="0" xfId="0" applyFont="1" applyFill="1" applyBorder="1"/>
    <xf numFmtId="0" fontId="0" fillId="3" borderId="5" xfId="0" applyFill="1" applyBorder="1"/>
    <xf numFmtId="0" fontId="0" fillId="3" borderId="6" xfId="0" applyFill="1" applyBorder="1"/>
    <xf numFmtId="0" fontId="4" fillId="3" borderId="6" xfId="0" applyFont="1" applyFill="1" applyBorder="1"/>
    <xf numFmtId="0" fontId="5" fillId="3" borderId="7" xfId="0" applyFont="1" applyFill="1" applyBorder="1"/>
    <xf numFmtId="0" fontId="5" fillId="0" borderId="6" xfId="0" applyFont="1" applyBorder="1" applyProtection="1">
      <protection locked="0"/>
    </xf>
    <xf numFmtId="0" fontId="5" fillId="0" borderId="7" xfId="0" applyFont="1" applyBorder="1"/>
    <xf numFmtId="0" fontId="5" fillId="0" borderId="0" xfId="0" applyFont="1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5" fillId="3" borderId="11" xfId="0" applyFont="1" applyFill="1" applyBorder="1"/>
    <xf numFmtId="0" fontId="0" fillId="3" borderId="11" xfId="0" applyFill="1" applyBorder="1"/>
    <xf numFmtId="0" fontId="0" fillId="3" borderId="10" xfId="0" applyFill="1" applyBorder="1"/>
    <xf numFmtId="0" fontId="1" fillId="3" borderId="11" xfId="0" applyFont="1" applyFill="1" applyBorder="1"/>
    <xf numFmtId="0" fontId="0" fillId="3" borderId="1" xfId="0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6" fillId="3" borderId="2" xfId="0" applyFont="1" applyFill="1" applyBorder="1"/>
    <xf numFmtId="0" fontId="6" fillId="3" borderId="1" xfId="0" applyFont="1" applyFill="1" applyBorder="1"/>
    <xf numFmtId="0" fontId="7" fillId="3" borderId="5" xfId="0" applyFont="1" applyFill="1" applyBorder="1"/>
    <xf numFmtId="0" fontId="8" fillId="0" borderId="6" xfId="0" applyFont="1" applyBorder="1" applyProtection="1">
      <protection locked="0"/>
    </xf>
    <xf numFmtId="0" fontId="7" fillId="3" borderId="6" xfId="0" applyFont="1" applyFill="1" applyBorder="1"/>
    <xf numFmtId="0" fontId="7" fillId="3" borderId="7" xfId="0" applyFont="1" applyFill="1" applyBorder="1"/>
    <xf numFmtId="1" fontId="9" fillId="3" borderId="6" xfId="0" applyNumberFormat="1" applyFont="1" applyFill="1" applyBorder="1"/>
    <xf numFmtId="1" fontId="7" fillId="3" borderId="7" xfId="0" applyNumberFormat="1" applyFont="1" applyFill="1" applyBorder="1"/>
    <xf numFmtId="0" fontId="7" fillId="3" borderId="0" xfId="0" applyFont="1" applyFill="1" applyBorder="1"/>
    <xf numFmtId="1" fontId="7" fillId="3" borderId="0" xfId="0" applyNumberFormat="1" applyFont="1" applyFill="1" applyBorder="1"/>
    <xf numFmtId="1" fontId="6" fillId="3" borderId="6" xfId="0" applyNumberFormat="1" applyFont="1" applyFill="1" applyBorder="1"/>
    <xf numFmtId="1" fontId="7" fillId="3" borderId="5" xfId="0" applyNumberFormat="1" applyFont="1" applyFill="1" applyBorder="1"/>
    <xf numFmtId="3" fontId="7" fillId="3" borderId="7" xfId="0" applyNumberFormat="1" applyFont="1" applyFill="1" applyBorder="1"/>
    <xf numFmtId="1" fontId="6" fillId="3" borderId="5" xfId="0" applyNumberFormat="1" applyFont="1" applyFill="1" applyBorder="1"/>
    <xf numFmtId="164" fontId="7" fillId="3" borderId="0" xfId="0" applyNumberFormat="1" applyFont="1" applyFill="1" applyBorder="1"/>
    <xf numFmtId="0" fontId="7" fillId="0" borderId="0" xfId="0" applyFont="1"/>
    <xf numFmtId="0" fontId="1" fillId="3" borderId="5" xfId="0" applyFont="1" applyFill="1" applyBorder="1"/>
    <xf numFmtId="0" fontId="4" fillId="0" borderId="6" xfId="0" applyFont="1" applyBorder="1" applyProtection="1">
      <protection locked="0"/>
    </xf>
    <xf numFmtId="0" fontId="9" fillId="3" borderId="6" xfId="0" applyFont="1" applyFill="1" applyBorder="1"/>
    <xf numFmtId="0" fontId="9" fillId="3" borderId="7" xfId="0" applyFont="1" applyFill="1" applyBorder="1"/>
    <xf numFmtId="0" fontId="9" fillId="3" borderId="0" xfId="0" applyFont="1" applyFill="1" applyBorder="1"/>
    <xf numFmtId="1" fontId="9" fillId="3" borderId="0" xfId="0" applyNumberFormat="1" applyFont="1" applyFill="1" applyBorder="1"/>
    <xf numFmtId="1" fontId="9" fillId="3" borderId="7" xfId="0" applyNumberFormat="1" applyFont="1" applyFill="1" applyBorder="1"/>
    <xf numFmtId="1" fontId="9" fillId="3" borderId="5" xfId="0" applyNumberFormat="1" applyFont="1" applyFill="1" applyBorder="1"/>
    <xf numFmtId="3" fontId="9" fillId="3" borderId="7" xfId="0" applyNumberFormat="1" applyFont="1" applyFill="1" applyBorder="1"/>
    <xf numFmtId="1" fontId="5" fillId="3" borderId="5" xfId="0" applyNumberFormat="1" applyFont="1" applyFill="1" applyBorder="1"/>
    <xf numFmtId="0" fontId="1" fillId="3" borderId="8" xfId="0" applyFont="1" applyFill="1" applyBorder="1"/>
    <xf numFmtId="0" fontId="4" fillId="0" borderId="9" xfId="0" applyFont="1" applyBorder="1" applyProtection="1">
      <protection locked="0"/>
    </xf>
    <xf numFmtId="0" fontId="9" fillId="3" borderId="9" xfId="0" applyFont="1" applyFill="1" applyBorder="1"/>
    <xf numFmtId="0" fontId="9" fillId="3" borderId="10" xfId="0" applyFont="1" applyFill="1" applyBorder="1"/>
    <xf numFmtId="1" fontId="9" fillId="3" borderId="9" xfId="0" applyNumberFormat="1" applyFont="1" applyFill="1" applyBorder="1"/>
    <xf numFmtId="1" fontId="7" fillId="3" borderId="10" xfId="0" applyNumberFormat="1" applyFont="1" applyFill="1" applyBorder="1"/>
    <xf numFmtId="0" fontId="9" fillId="3" borderId="11" xfId="0" applyFont="1" applyFill="1" applyBorder="1"/>
    <xf numFmtId="1" fontId="9" fillId="3" borderId="11" xfId="0" applyNumberFormat="1" applyFont="1" applyFill="1" applyBorder="1"/>
    <xf numFmtId="1" fontId="6" fillId="3" borderId="9" xfId="0" applyNumberFormat="1" applyFont="1" applyFill="1" applyBorder="1"/>
    <xf numFmtId="1" fontId="9" fillId="3" borderId="10" xfId="0" applyNumberFormat="1" applyFont="1" applyFill="1" applyBorder="1"/>
    <xf numFmtId="1" fontId="9" fillId="3" borderId="8" xfId="0" applyNumberFormat="1" applyFont="1" applyFill="1" applyBorder="1"/>
    <xf numFmtId="3" fontId="9" fillId="3" borderId="10" xfId="0" applyNumberFormat="1" applyFont="1" applyFill="1" applyBorder="1"/>
    <xf numFmtId="0" fontId="7" fillId="3" borderId="11" xfId="0" applyFont="1" applyFill="1" applyBorder="1"/>
    <xf numFmtId="1" fontId="6" fillId="3" borderId="8" xfId="0" applyNumberFormat="1" applyFont="1" applyFill="1" applyBorder="1"/>
    <xf numFmtId="164" fontId="7" fillId="3" borderId="11" xfId="0" applyNumberFormat="1" applyFont="1" applyFill="1" applyBorder="1"/>
    <xf numFmtId="1" fontId="5" fillId="3" borderId="8" xfId="0" applyNumberFormat="1" applyFont="1" applyFill="1" applyBorder="1"/>
    <xf numFmtId="0" fontId="5" fillId="3" borderId="2" xfId="0" applyFont="1" applyFill="1" applyBorder="1"/>
    <xf numFmtId="0" fontId="7" fillId="3" borderId="4" xfId="0" applyFont="1" applyFill="1" applyBorder="1"/>
    <xf numFmtId="0" fontId="7" fillId="3" borderId="3" xfId="0" applyFont="1" applyFill="1" applyBorder="1"/>
    <xf numFmtId="0" fontId="7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1" fillId="3" borderId="6" xfId="0" applyFont="1" applyFill="1" applyBorder="1"/>
    <xf numFmtId="3" fontId="7" fillId="4" borderId="12" xfId="0" applyNumberFormat="1" applyFont="1" applyFill="1" applyBorder="1" applyProtection="1">
      <protection locked="0"/>
    </xf>
    <xf numFmtId="0" fontId="6" fillId="5" borderId="8" xfId="0" applyFont="1" applyFill="1" applyBorder="1"/>
    <xf numFmtId="0" fontId="14" fillId="0" borderId="0" xfId="0" applyFont="1" applyBorder="1"/>
    <xf numFmtId="0" fontId="15" fillId="0" borderId="0" xfId="0" applyFont="1" applyBorder="1"/>
    <xf numFmtId="165" fontId="7" fillId="4" borderId="14" xfId="0" applyNumberFormat="1" applyFont="1" applyFill="1" applyBorder="1" applyProtection="1">
      <protection locked="0"/>
    </xf>
    <xf numFmtId="0" fontId="7" fillId="4" borderId="15" xfId="0" applyFont="1" applyFill="1" applyBorder="1" applyProtection="1">
      <protection locked="0"/>
    </xf>
    <xf numFmtId="165" fontId="6" fillId="5" borderId="8" xfId="0" applyNumberFormat="1" applyFont="1" applyFill="1" applyBorder="1"/>
    <xf numFmtId="0" fontId="7" fillId="3" borderId="10" xfId="0" applyFont="1" applyFill="1" applyBorder="1"/>
    <xf numFmtId="0" fontId="5" fillId="0" borderId="0" xfId="0" applyFont="1"/>
    <xf numFmtId="0" fontId="14" fillId="0" borderId="0" xfId="0" applyFont="1" applyFill="1" applyBorder="1"/>
    <xf numFmtId="0" fontId="8" fillId="0" borderId="0" xfId="0" applyFont="1" applyBorder="1"/>
    <xf numFmtId="1" fontId="7" fillId="0" borderId="0" xfId="0" applyNumberFormat="1" applyFont="1" applyBorder="1"/>
    <xf numFmtId="0" fontId="9" fillId="0" borderId="0" xfId="0" applyFont="1" applyBorder="1"/>
    <xf numFmtId="1" fontId="0" fillId="0" borderId="0" xfId="0" applyNumberFormat="1"/>
    <xf numFmtId="0" fontId="11" fillId="0" borderId="0" xfId="0" applyFont="1"/>
    <xf numFmtId="0" fontId="16" fillId="0" borderId="0" xfId="0" applyFont="1"/>
    <xf numFmtId="0" fontId="11" fillId="3" borderId="0" xfId="0" applyFont="1" applyFill="1"/>
    <xf numFmtId="0" fontId="10" fillId="3" borderId="0" xfId="0" applyFont="1" applyFill="1"/>
    <xf numFmtId="4" fontId="11" fillId="0" borderId="16" xfId="0" applyNumberFormat="1" applyFont="1" applyBorder="1" applyAlignment="1" applyProtection="1">
      <alignment horizontal="right"/>
      <protection locked="0"/>
    </xf>
    <xf numFmtId="0" fontId="10" fillId="3" borderId="0" xfId="0" applyFont="1" applyFill="1" applyBorder="1"/>
    <xf numFmtId="4" fontId="11" fillId="0" borderId="16" xfId="0" applyNumberFormat="1" applyFont="1" applyBorder="1" applyProtection="1">
      <protection locked="0"/>
    </xf>
    <xf numFmtId="0" fontId="11" fillId="3" borderId="0" xfId="0" applyFont="1" applyFill="1" applyBorder="1"/>
    <xf numFmtId="0" fontId="10" fillId="3" borderId="2" xfId="0" applyFont="1" applyFill="1" applyBorder="1"/>
    <xf numFmtId="4" fontId="10" fillId="3" borderId="3" xfId="0" applyNumberFormat="1" applyFont="1" applyFill="1" applyBorder="1"/>
    <xf numFmtId="4" fontId="11" fillId="3" borderId="0" xfId="0" applyNumberFormat="1" applyFont="1" applyFill="1" applyBorder="1" applyProtection="1"/>
    <xf numFmtId="0" fontId="11" fillId="3" borderId="0" xfId="0" applyFont="1" applyFill="1" applyBorder="1" applyProtection="1">
      <protection hidden="1"/>
    </xf>
    <xf numFmtId="0" fontId="11" fillId="0" borderId="0" xfId="0" applyFont="1" applyBorder="1" applyProtection="1">
      <protection hidden="1"/>
    </xf>
    <xf numFmtId="0" fontId="10" fillId="3" borderId="6" xfId="0" applyFont="1" applyFill="1" applyBorder="1"/>
    <xf numFmtId="4" fontId="10" fillId="3" borderId="7" xfId="0" applyNumberFormat="1" applyFont="1" applyFill="1" applyBorder="1" applyProtection="1">
      <protection locked="0"/>
    </xf>
    <xf numFmtId="0" fontId="11" fillId="3" borderId="0" xfId="0" applyFont="1" applyFill="1" applyProtection="1">
      <protection hidden="1"/>
    </xf>
    <xf numFmtId="4" fontId="11" fillId="3" borderId="16" xfId="0" applyNumberFormat="1" applyFont="1" applyFill="1" applyBorder="1" applyProtection="1"/>
    <xf numFmtId="0" fontId="11" fillId="0" borderId="0" xfId="0" applyFont="1" applyProtection="1">
      <protection hidden="1"/>
    </xf>
    <xf numFmtId="0" fontId="11" fillId="3" borderId="6" xfId="0" applyFont="1" applyFill="1" applyBorder="1"/>
    <xf numFmtId="0" fontId="11" fillId="3" borderId="7" xfId="0" applyFont="1" applyFill="1" applyBorder="1"/>
    <xf numFmtId="0" fontId="10" fillId="3" borderId="9" xfId="0" applyFont="1" applyFill="1" applyBorder="1"/>
    <xf numFmtId="4" fontId="10" fillId="3" borderId="10" xfId="0" applyNumberFormat="1" applyFont="1" applyFill="1" applyBorder="1"/>
    <xf numFmtId="4" fontId="11" fillId="3" borderId="0" xfId="0" applyNumberFormat="1" applyFont="1" applyFill="1" applyProtection="1"/>
    <xf numFmtId="4" fontId="11" fillId="3" borderId="0" xfId="0" applyNumberFormat="1" applyFont="1" applyFill="1" applyBorder="1" applyProtection="1">
      <protection hidden="1"/>
    </xf>
    <xf numFmtId="4" fontId="11" fillId="3" borderId="0" xfId="0" applyNumberFormat="1" applyFont="1" applyFill="1" applyProtection="1">
      <protection hidden="1"/>
    </xf>
    <xf numFmtId="4" fontId="11" fillId="3" borderId="0" xfId="0" applyNumberFormat="1" applyFont="1" applyFill="1"/>
    <xf numFmtId="0" fontId="10" fillId="3" borderId="16" xfId="0" applyFont="1" applyFill="1" applyBorder="1"/>
    <xf numFmtId="4" fontId="11" fillId="3" borderId="1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16" xfId="0" applyFont="1" applyFill="1" applyBorder="1"/>
    <xf numFmtId="4" fontId="11" fillId="3" borderId="16" xfId="0" applyNumberFormat="1" applyFont="1" applyFill="1" applyBorder="1"/>
    <xf numFmtId="4" fontId="11" fillId="0" borderId="0" xfId="0" applyNumberFormat="1" applyFont="1" applyProtection="1">
      <protection hidden="1"/>
    </xf>
    <xf numFmtId="4" fontId="10" fillId="3" borderId="0" xfId="0" applyNumberFormat="1" applyFont="1" applyFill="1" applyProtection="1">
      <protection hidden="1"/>
    </xf>
    <xf numFmtId="4" fontId="10" fillId="3" borderId="0" xfId="0" applyNumberFormat="1" applyFont="1" applyFill="1"/>
    <xf numFmtId="4" fontId="17" fillId="3" borderId="0" xfId="0" applyNumberFormat="1" applyFont="1" applyFill="1"/>
    <xf numFmtId="0" fontId="11" fillId="3" borderId="4" xfId="0" applyFont="1" applyFill="1" applyBorder="1"/>
    <xf numFmtId="4" fontId="11" fillId="3" borderId="3" xfId="0" applyNumberFormat="1" applyFont="1" applyFill="1" applyBorder="1"/>
    <xf numFmtId="4" fontId="11" fillId="3" borderId="7" xfId="0" applyNumberFormat="1" applyFont="1" applyFill="1" applyBorder="1"/>
    <xf numFmtId="0" fontId="11" fillId="3" borderId="11" xfId="0" applyFont="1" applyFill="1" applyBorder="1"/>
    <xf numFmtId="0" fontId="11" fillId="3" borderId="3" xfId="0" applyFont="1" applyFill="1" applyBorder="1"/>
    <xf numFmtId="4" fontId="11" fillId="3" borderId="10" xfId="0" applyNumberFormat="1" applyFont="1" applyFill="1" applyBorder="1" applyProtection="1">
      <protection hidden="1"/>
    </xf>
    <xf numFmtId="0" fontId="11" fillId="0" borderId="0" xfId="0" applyFont="1" applyBorder="1"/>
    <xf numFmtId="4" fontId="11" fillId="3" borderId="0" xfId="0" applyNumberFormat="1" applyFont="1" applyFill="1" applyBorder="1"/>
    <xf numFmtId="4" fontId="10" fillId="0" borderId="0" xfId="0" applyNumberFormat="1" applyFont="1" applyBorder="1"/>
    <xf numFmtId="4" fontId="10" fillId="3" borderId="0" xfId="0" applyNumberFormat="1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right"/>
    </xf>
    <xf numFmtId="0" fontId="2" fillId="0" borderId="0" xfId="0" applyFont="1" applyBorder="1"/>
    <xf numFmtId="4" fontId="2" fillId="3" borderId="9" xfId="0" applyNumberFormat="1" applyFont="1" applyFill="1" applyBorder="1"/>
    <xf numFmtId="2" fontId="2" fillId="3" borderId="10" xfId="0" applyNumberFormat="1" applyFont="1" applyFill="1" applyBorder="1"/>
    <xf numFmtId="4" fontId="11" fillId="3" borderId="0" xfId="0" applyNumberFormat="1" applyFont="1" applyFill="1" applyBorder="1" applyProtection="1">
      <protection locked="0"/>
    </xf>
    <xf numFmtId="4" fontId="11" fillId="3" borderId="16" xfId="0" applyNumberFormat="1" applyFont="1" applyFill="1" applyBorder="1" applyProtection="1">
      <protection locked="0"/>
    </xf>
    <xf numFmtId="4" fontId="11" fillId="3" borderId="3" xfId="0" applyNumberFormat="1" applyFont="1" applyFill="1" applyBorder="1" applyProtection="1">
      <protection locked="0"/>
    </xf>
    <xf numFmtId="0" fontId="0" fillId="0" borderId="0" xfId="0" applyFont="1"/>
    <xf numFmtId="0" fontId="19" fillId="0" borderId="0" xfId="0" applyFont="1" applyBorder="1"/>
    <xf numFmtId="0" fontId="11" fillId="0" borderId="17" xfId="0" applyFont="1" applyBorder="1"/>
    <xf numFmtId="0" fontId="10" fillId="0" borderId="13" xfId="0" applyFont="1" applyBorder="1"/>
    <xf numFmtId="1" fontId="7" fillId="3" borderId="8" xfId="0" applyNumberFormat="1" applyFont="1" applyFill="1" applyBorder="1"/>
    <xf numFmtId="0" fontId="0" fillId="0" borderId="5" xfId="0" applyBorder="1"/>
    <xf numFmtId="1" fontId="7" fillId="0" borderId="5" xfId="0" applyNumberFormat="1" applyFont="1" applyBorder="1"/>
    <xf numFmtId="1" fontId="7" fillId="0" borderId="8" xfId="0" applyNumberFormat="1" applyFont="1" applyBorder="1"/>
    <xf numFmtId="0" fontId="0" fillId="6" borderId="5" xfId="0" applyFill="1" applyBorder="1"/>
    <xf numFmtId="0" fontId="0" fillId="7" borderId="1" xfId="0" applyFill="1" applyBorder="1"/>
    <xf numFmtId="0" fontId="0" fillId="7" borderId="5" xfId="0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rketbizz.nl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marketbizz.n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247650</xdr:colOff>
      <xdr:row>0</xdr:row>
      <xdr:rowOff>781050</xdr:rowOff>
    </xdr:to>
    <xdr:pic>
      <xdr:nvPicPr>
        <xdr:cNvPr id="5121" name="Afbeelding 1" descr="MarketBizz1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6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1</xdr:row>
      <xdr:rowOff>114300</xdr:rowOff>
    </xdr:to>
    <xdr:pic>
      <xdr:nvPicPr>
        <xdr:cNvPr id="1028" name="Afbeelding 1" descr="MarketBizz1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52875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abSelected="1" zoomScaleNormal="100" workbookViewId="0">
      <selection activeCell="S27" sqref="S27"/>
    </sheetView>
  </sheetViews>
  <sheetFormatPr defaultRowHeight="12.75" x14ac:dyDescent="0.2"/>
  <cols>
    <col min="1" max="1" width="12.5703125" customWidth="1"/>
    <col min="2" max="2" width="7.42578125" customWidth="1"/>
    <col min="3" max="3" width="11.28515625" customWidth="1"/>
    <col min="4" max="4" width="2.28515625" customWidth="1"/>
    <col min="5" max="5" width="13" customWidth="1"/>
    <col min="6" max="6" width="3.7109375" customWidth="1"/>
    <col min="7" max="7" width="0.140625" customWidth="1"/>
    <col min="8" max="8" width="8" customWidth="1"/>
    <col min="9" max="9" width="4.28515625" customWidth="1"/>
    <col min="10" max="10" width="8.85546875" customWidth="1"/>
    <col min="11" max="11" width="8" customWidth="1"/>
    <col min="12" max="12" width="7.140625" customWidth="1"/>
    <col min="13" max="13" width="7.28515625" style="3" customWidth="1"/>
    <col min="14" max="14" width="9.7109375" customWidth="1"/>
    <col min="15" max="15" width="5.85546875" customWidth="1"/>
    <col min="16" max="16" width="7.85546875" customWidth="1"/>
    <col min="17" max="17" width="6.140625" customWidth="1"/>
    <col min="19" max="19" width="11.140625" customWidth="1"/>
  </cols>
  <sheetData>
    <row r="1" spans="1:19" ht="68.25" customHeight="1" x14ac:dyDescent="0.2"/>
    <row r="2" spans="1:19" ht="15.75" x14ac:dyDescent="0.25">
      <c r="A2" s="1">
        <v>2016</v>
      </c>
      <c r="C2" s="2" t="s">
        <v>0</v>
      </c>
    </row>
    <row r="5" spans="1:19" ht="15.75" x14ac:dyDescent="0.25">
      <c r="B5" s="1" t="s">
        <v>1</v>
      </c>
    </row>
    <row r="6" spans="1:19" x14ac:dyDescent="0.2">
      <c r="B6" s="2" t="s">
        <v>2</v>
      </c>
    </row>
    <row r="7" spans="1:19" x14ac:dyDescent="0.2">
      <c r="B7" s="150" t="s">
        <v>95</v>
      </c>
    </row>
    <row r="8" spans="1:19" x14ac:dyDescent="0.2">
      <c r="B8" s="2" t="s">
        <v>3</v>
      </c>
    </row>
    <row r="9" spans="1:19" x14ac:dyDescent="0.2">
      <c r="B9" s="2" t="s">
        <v>4</v>
      </c>
    </row>
    <row r="10" spans="1:19" ht="13.5" thickBot="1" x14ac:dyDescent="0.25"/>
    <row r="11" spans="1:19" x14ac:dyDescent="0.2">
      <c r="A11" s="4"/>
      <c r="B11" s="5"/>
      <c r="C11" s="5" t="s">
        <v>5</v>
      </c>
      <c r="D11" s="6"/>
      <c r="E11" s="5" t="s">
        <v>6</v>
      </c>
      <c r="F11" s="6" t="s">
        <v>7</v>
      </c>
      <c r="G11" s="7" t="s">
        <v>8</v>
      </c>
      <c r="H11" s="5" t="s">
        <v>9</v>
      </c>
      <c r="I11" s="6"/>
      <c r="J11" s="4" t="s">
        <v>108</v>
      </c>
      <c r="K11" s="4" t="s">
        <v>105</v>
      </c>
      <c r="L11" s="7" t="s">
        <v>10</v>
      </c>
      <c r="M11" s="5" t="s">
        <v>11</v>
      </c>
      <c r="N11" s="4" t="s">
        <v>12</v>
      </c>
      <c r="O11" s="7" t="s">
        <v>13</v>
      </c>
      <c r="P11" s="4" t="s">
        <v>14</v>
      </c>
      <c r="Q11" s="7"/>
      <c r="R11" s="4"/>
      <c r="S11" s="159" t="s">
        <v>113</v>
      </c>
    </row>
    <row r="12" spans="1:19" x14ac:dyDescent="0.2">
      <c r="A12" s="8"/>
      <c r="B12" s="9"/>
      <c r="C12" s="9" t="s">
        <v>106</v>
      </c>
      <c r="D12" s="10"/>
      <c r="E12" s="9" t="s">
        <v>15</v>
      </c>
      <c r="F12" s="10"/>
      <c r="G12" s="11"/>
      <c r="H12" s="9"/>
      <c r="I12" s="10"/>
      <c r="J12" s="8" t="s">
        <v>107</v>
      </c>
      <c r="K12" s="8"/>
      <c r="L12" s="11"/>
      <c r="M12" s="9"/>
      <c r="N12" s="8"/>
      <c r="O12" s="11"/>
      <c r="P12" s="8"/>
      <c r="Q12" s="11"/>
      <c r="R12" s="8"/>
      <c r="S12" s="160"/>
    </row>
    <row r="13" spans="1:19" x14ac:dyDescent="0.2">
      <c r="A13" s="12"/>
      <c r="B13" s="13"/>
      <c r="C13" s="14">
        <v>1000</v>
      </c>
      <c r="D13" s="15"/>
      <c r="E13" s="16">
        <v>20</v>
      </c>
      <c r="F13" s="17" t="s">
        <v>16</v>
      </c>
      <c r="G13" s="18">
        <v>0</v>
      </c>
      <c r="H13" s="13" t="s">
        <v>17</v>
      </c>
      <c r="I13" s="19"/>
      <c r="J13" s="12"/>
      <c r="K13" s="12"/>
      <c r="L13" s="20"/>
      <c r="M13" s="13"/>
      <c r="N13" s="12" t="s">
        <v>18</v>
      </c>
      <c r="O13" s="20"/>
      <c r="P13" s="12"/>
      <c r="Q13" s="20"/>
      <c r="R13" s="12"/>
      <c r="S13" s="158" t="s">
        <v>111</v>
      </c>
    </row>
    <row r="14" spans="1:19" ht="13.5" thickBot="1" x14ac:dyDescent="0.25">
      <c r="A14" s="21"/>
      <c r="B14" s="22"/>
      <c r="C14" s="23"/>
      <c r="D14" s="24"/>
      <c r="E14" s="23"/>
      <c r="F14" s="24"/>
      <c r="G14" s="25"/>
      <c r="H14" s="22" t="s">
        <v>19</v>
      </c>
      <c r="I14" s="27"/>
      <c r="J14" s="21"/>
      <c r="K14" s="21"/>
      <c r="L14" s="26"/>
      <c r="M14" s="22"/>
      <c r="N14" s="21"/>
      <c r="O14" s="26"/>
      <c r="P14" s="21" t="s">
        <v>20</v>
      </c>
      <c r="Q14" s="28" t="s">
        <v>16</v>
      </c>
      <c r="R14" s="21" t="s">
        <v>21</v>
      </c>
      <c r="S14" s="12" t="s">
        <v>112</v>
      </c>
    </row>
    <row r="15" spans="1:19" x14ac:dyDescent="0.2">
      <c r="A15" s="29"/>
      <c r="B15" s="30"/>
      <c r="C15" s="31"/>
      <c r="D15" s="32"/>
      <c r="E15" s="31"/>
      <c r="F15" s="32"/>
      <c r="G15" s="33"/>
      <c r="H15" s="34"/>
      <c r="I15" s="32"/>
      <c r="J15" s="29"/>
      <c r="K15" s="29"/>
      <c r="L15" s="33"/>
      <c r="M15" s="29"/>
      <c r="N15" s="32"/>
      <c r="O15" s="33"/>
      <c r="P15" s="35"/>
      <c r="Q15" s="33"/>
      <c r="R15" s="29"/>
      <c r="S15" s="155"/>
    </row>
    <row r="16" spans="1:19" s="49" customFormat="1" x14ac:dyDescent="0.2">
      <c r="A16" s="36" t="s">
        <v>22</v>
      </c>
      <c r="B16" s="37">
        <v>30</v>
      </c>
      <c r="C16" s="38">
        <f>(B16*C13)</f>
        <v>30000</v>
      </c>
      <c r="D16" s="39"/>
      <c r="E16" s="40">
        <f>C13*B16/100*(E13)</f>
        <v>6000</v>
      </c>
      <c r="F16" s="41"/>
      <c r="G16" s="42"/>
      <c r="H16" s="44">
        <f>C16-E16</f>
        <v>24000</v>
      </c>
      <c r="I16" s="41"/>
      <c r="J16" s="45">
        <f>'A-line 1'!$J$32</f>
        <v>3103</v>
      </c>
      <c r="K16" s="45">
        <f>'A-line 1'!$H$35</f>
        <v>682.06599999999992</v>
      </c>
      <c r="L16" s="43">
        <f>'A-line 1'!$D$41</f>
        <v>0</v>
      </c>
      <c r="M16" s="45">
        <f>'A-line 1'!$H$16</f>
        <v>-396</v>
      </c>
      <c r="N16" s="46">
        <f>'A-line 1'!$C$51</f>
        <v>24396</v>
      </c>
      <c r="O16" s="42">
        <v>0</v>
      </c>
      <c r="P16" s="47">
        <f>N16-O16-K16</f>
        <v>23713.934000000001</v>
      </c>
      <c r="Q16" s="48">
        <f>(P16/C16)</f>
        <v>0.7904644666666667</v>
      </c>
      <c r="R16" s="47">
        <f>P16/12</f>
        <v>1976.1611666666668</v>
      </c>
      <c r="S16" s="156">
        <f>SUM(R16-H27)</f>
        <v>1684.4945</v>
      </c>
    </row>
    <row r="17" spans="1:19" x14ac:dyDescent="0.2">
      <c r="A17" s="50" t="s">
        <v>23</v>
      </c>
      <c r="B17" s="51">
        <v>35</v>
      </c>
      <c r="C17" s="52">
        <f>(B17*C13)</f>
        <v>35000</v>
      </c>
      <c r="D17" s="53"/>
      <c r="E17" s="40">
        <f>C13*B17/100*(E13)</f>
        <v>7000</v>
      </c>
      <c r="F17" s="41"/>
      <c r="G17" s="54"/>
      <c r="H17" s="44">
        <f>C17-E17</f>
        <v>28000</v>
      </c>
      <c r="I17" s="56"/>
      <c r="J17" s="57">
        <f>'B-line2'!$J$29</f>
        <v>3103</v>
      </c>
      <c r="K17" s="45">
        <f>'B-line2'!$H$32</f>
        <v>871.26599999999996</v>
      </c>
      <c r="L17" s="55">
        <f>'B-line2'!$C$14</f>
        <v>0</v>
      </c>
      <c r="M17" s="57">
        <f>'B-line2'!$H$9</f>
        <v>861</v>
      </c>
      <c r="N17" s="58">
        <f>'B-line2'!$C$48</f>
        <v>27139</v>
      </c>
      <c r="O17" s="42">
        <v>0</v>
      </c>
      <c r="P17" s="47">
        <f t="shared" ref="P17:P19" si="0">N17-O17-K17</f>
        <v>26267.734</v>
      </c>
      <c r="Q17" s="48">
        <f>(P17/C17)</f>
        <v>0.75050668571428569</v>
      </c>
      <c r="R17" s="59">
        <f>P17/12</f>
        <v>2188.9778333333334</v>
      </c>
      <c r="S17" s="156">
        <f>SUM(R17-H27)</f>
        <v>1897.3111666666666</v>
      </c>
    </row>
    <row r="18" spans="1:19" x14ac:dyDescent="0.2">
      <c r="A18" s="50" t="s">
        <v>24</v>
      </c>
      <c r="B18" s="51">
        <v>40</v>
      </c>
      <c r="C18" s="52">
        <f>(B18*C13)</f>
        <v>40000</v>
      </c>
      <c r="D18" s="53"/>
      <c r="E18" s="40">
        <f>C13*B18/100*(E13)</f>
        <v>8000</v>
      </c>
      <c r="F18" s="41"/>
      <c r="G18" s="54"/>
      <c r="H18" s="44">
        <f>C18-E18</f>
        <v>32000</v>
      </c>
      <c r="I18" s="56"/>
      <c r="J18" s="57">
        <f>'C-line3'!$J$29</f>
        <v>3103</v>
      </c>
      <c r="K18" s="45">
        <f>'C-line3'!$H$32</f>
        <v>1060.4660000000001</v>
      </c>
      <c r="L18" s="55">
        <f>'C-line3'!$C$14</f>
        <v>0</v>
      </c>
      <c r="M18" s="57">
        <f>'C-line3'!$H$9</f>
        <v>2119</v>
      </c>
      <c r="N18" s="58">
        <f>'C-line3'!$C$48</f>
        <v>29881</v>
      </c>
      <c r="O18" s="42">
        <v>0</v>
      </c>
      <c r="P18" s="47">
        <f t="shared" si="0"/>
        <v>28820.534</v>
      </c>
      <c r="Q18" s="48">
        <f>(P18/C18)</f>
        <v>0.72051334999999994</v>
      </c>
      <c r="R18" s="59">
        <f>P18/12</f>
        <v>2401.7111666666665</v>
      </c>
      <c r="S18" s="156">
        <f>SUM(R18-H27)</f>
        <v>2110.0445</v>
      </c>
    </row>
    <row r="19" spans="1:19" ht="13.5" thickBot="1" x14ac:dyDescent="0.25">
      <c r="A19" s="60" t="s">
        <v>25</v>
      </c>
      <c r="B19" s="61">
        <v>100</v>
      </c>
      <c r="C19" s="62">
        <f>(B19*C13)</f>
        <v>100000</v>
      </c>
      <c r="D19" s="63"/>
      <c r="E19" s="64">
        <f>C13*B19/100*(E13)</f>
        <v>20000</v>
      </c>
      <c r="F19" s="65"/>
      <c r="G19" s="66"/>
      <c r="H19" s="68">
        <f>C19-E19</f>
        <v>80000</v>
      </c>
      <c r="I19" s="69"/>
      <c r="J19" s="70">
        <f>'D-line4'!$J$29</f>
        <v>1263.5999999999999</v>
      </c>
      <c r="K19" s="154">
        <f>'D-line4'!$H$32</f>
        <v>2901</v>
      </c>
      <c r="L19" s="67">
        <f>'D-line4'!$C$14</f>
        <v>0</v>
      </c>
      <c r="M19" s="70">
        <f>'D-line4'!$H$9</f>
        <v>20610.400000000001</v>
      </c>
      <c r="N19" s="71">
        <f>'D-line4'!$C$48</f>
        <v>59389.599999999999</v>
      </c>
      <c r="O19" s="72">
        <v>0</v>
      </c>
      <c r="P19" s="73">
        <f t="shared" si="0"/>
        <v>56488.6</v>
      </c>
      <c r="Q19" s="74">
        <f>(P19/C19)</f>
        <v>0.564886</v>
      </c>
      <c r="R19" s="75">
        <f>P19/12</f>
        <v>4707.3833333333332</v>
      </c>
      <c r="S19" s="157">
        <f>SUM(R19-H27)</f>
        <v>4415.7166666666662</v>
      </c>
    </row>
    <row r="20" spans="1:19" ht="19.5" customHeight="1" thickBot="1" x14ac:dyDescent="0.25">
      <c r="B20" t="s">
        <v>96</v>
      </c>
      <c r="L20" s="80"/>
      <c r="M20" s="80"/>
      <c r="N20" s="81"/>
      <c r="O20" s="80"/>
      <c r="P20" s="80"/>
      <c r="Q20" s="80"/>
    </row>
    <row r="21" spans="1:19" ht="13.5" thickBot="1" x14ac:dyDescent="0.25">
      <c r="A21" s="76" t="s">
        <v>26</v>
      </c>
      <c r="B21" s="77"/>
      <c r="C21" s="77"/>
      <c r="D21" s="77"/>
      <c r="E21" s="78"/>
      <c r="F21" s="79"/>
      <c r="G21" s="80"/>
      <c r="H21" s="80"/>
      <c r="I21" s="80"/>
      <c r="J21" s="80"/>
      <c r="K21" s="80"/>
      <c r="L21" s="80"/>
      <c r="M21" s="80"/>
      <c r="N21" s="81"/>
      <c r="O21" s="80"/>
      <c r="P21" s="80"/>
      <c r="Q21" s="80"/>
      <c r="R21" s="3"/>
    </row>
    <row r="22" spans="1:19" ht="13.5" thickBot="1" x14ac:dyDescent="0.25">
      <c r="A22" s="82" t="s">
        <v>27</v>
      </c>
      <c r="B22" s="42"/>
      <c r="C22" s="83">
        <v>200000</v>
      </c>
      <c r="D22" s="42" t="s">
        <v>28</v>
      </c>
      <c r="E22" s="39"/>
      <c r="F22" s="79"/>
      <c r="G22" s="80"/>
      <c r="H22" s="80"/>
      <c r="I22" s="81"/>
      <c r="J22" s="80"/>
      <c r="K22" s="80"/>
      <c r="L22" s="151"/>
      <c r="M22" s="85"/>
      <c r="N22" s="85"/>
      <c r="O22" s="85"/>
      <c r="P22" s="85"/>
      <c r="Q22" s="85"/>
      <c r="R22" s="3"/>
    </row>
    <row r="23" spans="1:19" ht="13.5" thickBot="1" x14ac:dyDescent="0.25">
      <c r="A23" s="13" t="s">
        <v>29</v>
      </c>
      <c r="B23" s="42"/>
      <c r="C23" s="84">
        <f>C22*0.006</f>
        <v>1200</v>
      </c>
      <c r="D23" s="42"/>
      <c r="E23" s="39"/>
      <c r="F23" s="79"/>
      <c r="G23" s="85"/>
      <c r="H23" s="85"/>
      <c r="I23" s="86" t="s">
        <v>30</v>
      </c>
      <c r="J23" s="85"/>
      <c r="K23" s="85"/>
      <c r="L23" s="85"/>
      <c r="M23" s="85"/>
      <c r="N23" s="85"/>
      <c r="O23" s="85"/>
      <c r="P23" s="85"/>
      <c r="Q23" s="85"/>
      <c r="R23" s="85"/>
    </row>
    <row r="24" spans="1:19" ht="13.5" thickBot="1" x14ac:dyDescent="0.25">
      <c r="A24" s="13"/>
      <c r="B24" s="42"/>
      <c r="C24" s="42"/>
      <c r="D24" s="42"/>
      <c r="E24" s="39"/>
      <c r="F24" s="79"/>
      <c r="G24" s="85"/>
      <c r="H24" s="85"/>
      <c r="I24" s="86"/>
      <c r="J24" s="85"/>
      <c r="K24" s="85"/>
      <c r="L24" s="85"/>
      <c r="M24" s="85"/>
      <c r="N24" s="85"/>
      <c r="O24" s="85"/>
      <c r="P24" s="85"/>
      <c r="Q24" s="85"/>
      <c r="R24" s="85"/>
    </row>
    <row r="25" spans="1:19" x14ac:dyDescent="0.2">
      <c r="A25" s="13" t="s">
        <v>31</v>
      </c>
      <c r="B25" s="42"/>
      <c r="C25" s="87">
        <v>175000</v>
      </c>
      <c r="D25" s="42" t="s">
        <v>28</v>
      </c>
      <c r="E25" s="39"/>
      <c r="F25" s="79"/>
      <c r="G25" s="85"/>
      <c r="H25" s="85"/>
      <c r="I25" s="86"/>
      <c r="J25" s="85"/>
      <c r="K25" s="85"/>
      <c r="L25" s="85"/>
      <c r="M25" s="85"/>
      <c r="N25" s="85"/>
      <c r="O25" s="85"/>
      <c r="P25" s="85"/>
      <c r="Q25" s="85"/>
      <c r="R25" s="85"/>
    </row>
    <row r="26" spans="1:19" ht="13.5" thickBot="1" x14ac:dyDescent="0.25">
      <c r="A26" s="13" t="s">
        <v>32</v>
      </c>
      <c r="B26" s="42"/>
      <c r="C26" s="88">
        <v>2</v>
      </c>
      <c r="D26" s="42" t="s">
        <v>28</v>
      </c>
      <c r="E26" s="39"/>
      <c r="F26" s="79"/>
      <c r="G26" s="85"/>
      <c r="H26" s="85"/>
      <c r="I26" s="86"/>
      <c r="J26" s="85"/>
      <c r="K26" s="85"/>
      <c r="L26" s="85"/>
      <c r="M26" s="85"/>
      <c r="N26" s="85"/>
      <c r="O26" s="85"/>
      <c r="P26" s="85"/>
      <c r="Q26" s="85"/>
      <c r="R26" s="85"/>
    </row>
    <row r="27" spans="1:19" ht="13.5" thickBot="1" x14ac:dyDescent="0.25">
      <c r="A27" s="13" t="s">
        <v>33</v>
      </c>
      <c r="B27" s="42"/>
      <c r="C27" s="89">
        <f>(C25*C26)/100</f>
        <v>3500</v>
      </c>
      <c r="D27" s="42"/>
      <c r="E27" s="39"/>
      <c r="F27" s="79"/>
      <c r="G27" s="85"/>
      <c r="H27" s="85">
        <f>(C27/12)</f>
        <v>291.66666666666669</v>
      </c>
      <c r="I27" s="85" t="s">
        <v>109</v>
      </c>
      <c r="J27" s="85" t="s">
        <v>110</v>
      </c>
      <c r="K27" s="85"/>
      <c r="L27" s="85"/>
      <c r="M27" s="85"/>
      <c r="N27" s="85"/>
      <c r="O27" s="85"/>
      <c r="P27" s="85"/>
      <c r="Q27" s="85"/>
      <c r="R27" s="85"/>
    </row>
    <row r="28" spans="1:19" x14ac:dyDescent="0.2">
      <c r="A28" s="13"/>
      <c r="B28" s="42"/>
      <c r="C28" s="42"/>
      <c r="D28" s="42"/>
      <c r="E28" s="39"/>
      <c r="F28" s="79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</row>
    <row r="29" spans="1:19" ht="13.5" thickBot="1" x14ac:dyDescent="0.25">
      <c r="A29" s="22"/>
      <c r="B29" s="72"/>
      <c r="C29" s="72"/>
      <c r="D29" s="72"/>
      <c r="E29" s="90"/>
      <c r="F29" s="79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</row>
    <row r="30" spans="1:19" x14ac:dyDescent="0.2">
      <c r="B30" s="79"/>
      <c r="C30" s="79"/>
      <c r="D30" s="79"/>
      <c r="E30" s="79"/>
      <c r="F30" s="79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</row>
    <row r="31" spans="1:19" x14ac:dyDescent="0.2">
      <c r="B31" s="79"/>
      <c r="C31" s="79"/>
      <c r="D31" s="79"/>
      <c r="E31" s="79"/>
      <c r="F31" s="79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9" x14ac:dyDescent="0.2">
      <c r="B32" s="79"/>
      <c r="C32" s="79"/>
      <c r="D32" s="79"/>
      <c r="E32" s="79"/>
      <c r="F32" s="79"/>
      <c r="G32" s="85"/>
      <c r="H32" s="85"/>
      <c r="I32" s="85"/>
      <c r="J32" s="85"/>
      <c r="K32" s="85"/>
      <c r="L32" s="85"/>
      <c r="M32" s="85"/>
      <c r="N32" s="92"/>
      <c r="O32" s="85"/>
      <c r="P32" s="85"/>
      <c r="Q32" s="92"/>
      <c r="R32" s="85"/>
    </row>
    <row r="33" spans="1:18" x14ac:dyDescent="0.2">
      <c r="A33" s="91" t="s">
        <v>34</v>
      </c>
      <c r="B33" s="79"/>
      <c r="C33" s="79"/>
      <c r="D33" s="79"/>
      <c r="E33" s="79"/>
      <c r="F33" s="79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</row>
    <row r="34" spans="1:18" x14ac:dyDescent="0.2">
      <c r="A34" t="s">
        <v>10</v>
      </c>
      <c r="B34" s="79" t="s">
        <v>93</v>
      </c>
      <c r="C34" s="93"/>
      <c r="D34" s="79"/>
      <c r="E34" s="79"/>
      <c r="F34" s="79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</row>
    <row r="35" spans="1:18" x14ac:dyDescent="0.2">
      <c r="A35" s="2" t="s">
        <v>35</v>
      </c>
      <c r="B35" s="79" t="s">
        <v>36</v>
      </c>
      <c r="C35" s="79"/>
      <c r="D35" s="79"/>
      <c r="E35" s="79"/>
      <c r="F35" s="79"/>
      <c r="G35" s="85"/>
      <c r="H35" s="85"/>
      <c r="I35" s="85"/>
      <c r="J35" s="85" t="s">
        <v>37</v>
      </c>
      <c r="K35" s="85"/>
      <c r="L35" s="85"/>
      <c r="M35" s="85"/>
      <c r="N35" s="85"/>
      <c r="O35" s="85"/>
      <c r="P35" s="85"/>
      <c r="Q35" s="85"/>
      <c r="R35" s="85"/>
    </row>
    <row r="36" spans="1:18" x14ac:dyDescent="0.2">
      <c r="A36" t="s">
        <v>38</v>
      </c>
      <c r="B36" s="79"/>
      <c r="C36" s="79" t="s">
        <v>39</v>
      </c>
      <c r="D36" s="79"/>
      <c r="E36" s="79"/>
      <c r="F36" s="79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</row>
    <row r="37" spans="1:18" x14ac:dyDescent="0.2">
      <c r="A37" t="s">
        <v>92</v>
      </c>
      <c r="B37" s="94"/>
      <c r="C37" s="94"/>
      <c r="D37" s="79"/>
      <c r="E37" s="79"/>
      <c r="F37" s="79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</row>
    <row r="38" spans="1:18" x14ac:dyDescent="0.2">
      <c r="A38" t="s">
        <v>40</v>
      </c>
      <c r="B38" s="2" t="s">
        <v>41</v>
      </c>
      <c r="C38" s="79"/>
      <c r="D38" s="79"/>
      <c r="E38" s="79"/>
      <c r="F38" s="79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</row>
    <row r="39" spans="1:18" x14ac:dyDescent="0.2">
      <c r="A39" s="2" t="s">
        <v>42</v>
      </c>
      <c r="B39" s="79"/>
      <c r="C39" s="79"/>
      <c r="D39" s="79"/>
      <c r="E39" s="79"/>
      <c r="F39" s="79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</row>
    <row r="40" spans="1:18" x14ac:dyDescent="0.2">
      <c r="A40" s="150" t="s">
        <v>91</v>
      </c>
      <c r="B40" s="79" t="s">
        <v>94</v>
      </c>
      <c r="C40" s="79"/>
      <c r="D40" s="79"/>
      <c r="E40" s="79"/>
      <c r="F40" s="79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</row>
    <row r="41" spans="1:18" x14ac:dyDescent="0.2">
      <c r="A41" s="150" t="s">
        <v>114</v>
      </c>
      <c r="B41" s="79" t="s">
        <v>115</v>
      </c>
      <c r="C41" s="79"/>
      <c r="D41" s="79"/>
      <c r="E41" s="79"/>
      <c r="F41" s="79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</row>
    <row r="42" spans="1:18" x14ac:dyDescent="0.2">
      <c r="B42" s="79"/>
      <c r="C42" s="79"/>
      <c r="D42" s="79"/>
      <c r="E42" s="79"/>
      <c r="F42" s="79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</row>
    <row r="43" spans="1:18" x14ac:dyDescent="0.2">
      <c r="B43" s="80"/>
      <c r="C43" s="80"/>
      <c r="D43" s="80"/>
      <c r="E43" s="80"/>
      <c r="F43" s="80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</row>
    <row r="44" spans="1:18" x14ac:dyDescent="0.2">
      <c r="B44" s="80"/>
      <c r="C44" s="80"/>
      <c r="D44" s="80"/>
      <c r="E44" s="80"/>
      <c r="F44" s="80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</row>
    <row r="45" spans="1:18" x14ac:dyDescent="0.2">
      <c r="B45" s="80"/>
      <c r="C45" s="80"/>
      <c r="D45" s="80"/>
      <c r="E45" s="80"/>
      <c r="F45" s="80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</row>
    <row r="46" spans="1:18" x14ac:dyDescent="0.2">
      <c r="B46" s="80"/>
      <c r="C46" s="80"/>
      <c r="D46" s="80"/>
      <c r="E46" s="80"/>
      <c r="F46" s="80"/>
      <c r="G46" s="85"/>
      <c r="H46" s="85"/>
      <c r="I46" s="85"/>
      <c r="J46" s="85"/>
      <c r="K46" s="85"/>
      <c r="L46" s="95"/>
      <c r="M46" s="95"/>
      <c r="N46" s="95"/>
      <c r="O46" s="95"/>
      <c r="P46" s="95"/>
      <c r="Q46" s="95"/>
      <c r="R46" s="85"/>
    </row>
    <row r="47" spans="1:18" x14ac:dyDescent="0.2">
      <c r="B47" s="3"/>
      <c r="C47" s="3"/>
      <c r="D47" s="3"/>
      <c r="E47" s="3"/>
      <c r="F47" s="3"/>
      <c r="G47" s="3"/>
      <c r="H47" s="95"/>
      <c r="I47" s="95"/>
      <c r="J47" s="95"/>
      <c r="K47" s="95"/>
      <c r="L47" s="49"/>
      <c r="M47" s="79"/>
      <c r="N47" s="49"/>
      <c r="O47" s="49"/>
      <c r="P47" s="49"/>
      <c r="Q47" s="49"/>
      <c r="R47" s="79"/>
    </row>
    <row r="48" spans="1:18" x14ac:dyDescent="0.2">
      <c r="H48" s="49"/>
      <c r="I48" s="49"/>
      <c r="J48" s="49"/>
      <c r="K48" s="49"/>
      <c r="L48" s="49"/>
      <c r="M48" s="79"/>
      <c r="N48" s="49"/>
      <c r="O48" s="49"/>
      <c r="P48" s="49"/>
      <c r="Q48" s="49"/>
      <c r="R48" s="49"/>
    </row>
    <row r="49" spans="5:18" x14ac:dyDescent="0.2">
      <c r="H49" s="49"/>
      <c r="I49" s="49"/>
      <c r="J49" s="49"/>
      <c r="K49" s="49"/>
      <c r="R49" s="49"/>
    </row>
    <row r="50" spans="5:18" x14ac:dyDescent="0.2">
      <c r="E50" s="96"/>
    </row>
    <row r="51" spans="5:18" x14ac:dyDescent="0.2">
      <c r="E51" s="96"/>
    </row>
    <row r="52" spans="5:18" x14ac:dyDescent="0.2">
      <c r="E52" s="96"/>
    </row>
    <row r="53" spans="5:18" x14ac:dyDescent="0.2">
      <c r="E53" s="96"/>
    </row>
    <row r="54" spans="5:18" x14ac:dyDescent="0.2">
      <c r="E54" s="96"/>
    </row>
    <row r="55" spans="5:18" x14ac:dyDescent="0.2">
      <c r="E55" s="96"/>
    </row>
    <row r="56" spans="5:18" x14ac:dyDescent="0.2">
      <c r="E56" s="96"/>
    </row>
    <row r="57" spans="5:18" x14ac:dyDescent="0.2">
      <c r="E57" s="96"/>
    </row>
    <row r="58" spans="5:18" x14ac:dyDescent="0.2">
      <c r="E58" s="96"/>
    </row>
    <row r="59" spans="5:18" x14ac:dyDescent="0.2">
      <c r="E59" s="96"/>
    </row>
    <row r="60" spans="5:18" x14ac:dyDescent="0.2">
      <c r="E60" s="96"/>
    </row>
  </sheetData>
  <sheetProtection selectLockedCells="1"/>
  <pageMargins left="0.75" right="0.75" top="1" bottom="1" header="0.5" footer="0.5"/>
  <pageSetup paperSize="9" scale="79" orientation="landscape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Layout" topLeftCell="B10" workbookViewId="0">
      <selection activeCell="H37" sqref="H37"/>
    </sheetView>
  </sheetViews>
  <sheetFormatPr defaultRowHeight="11.25" x14ac:dyDescent="0.2"/>
  <cols>
    <col min="1" max="1" width="3.7109375" style="97" customWidth="1"/>
    <col min="2" max="2" width="40.85546875" style="97" customWidth="1"/>
    <col min="3" max="3" width="12.42578125" style="97" customWidth="1"/>
    <col min="4" max="4" width="13" style="97" customWidth="1"/>
    <col min="5" max="5" width="2.5703125" style="97" customWidth="1"/>
    <col min="6" max="6" width="3.7109375" style="97" customWidth="1"/>
    <col min="7" max="7" width="19.7109375" style="97" customWidth="1"/>
    <col min="8" max="8" width="10.7109375" style="97" customWidth="1"/>
    <col min="9" max="9" width="3.140625" style="97" customWidth="1"/>
    <col min="10" max="10" width="7.140625" style="97" customWidth="1"/>
    <col min="11" max="11" width="12.28515625" style="97" customWidth="1"/>
    <col min="12" max="12" width="9.85546875" style="97" customWidth="1"/>
    <col min="13" max="13" width="9.5703125" style="97" customWidth="1"/>
    <col min="14" max="16384" width="9.140625" style="97"/>
  </cols>
  <sheetData>
    <row r="1" spans="1:12" ht="93" customHeight="1" x14ac:dyDescent="0.2"/>
    <row r="6" spans="1:12" ht="18" x14ac:dyDescent="0.25">
      <c r="B6" s="98" t="s">
        <v>43</v>
      </c>
    </row>
    <row r="7" spans="1:12" x14ac:dyDescent="0.2">
      <c r="A7" s="99"/>
      <c r="B7" s="99"/>
      <c r="C7" s="99"/>
      <c r="D7" s="99"/>
    </row>
    <row r="8" spans="1:12" x14ac:dyDescent="0.2">
      <c r="A8" s="99"/>
      <c r="B8" s="100" t="s">
        <v>44</v>
      </c>
      <c r="C8" s="101" t="s">
        <v>45</v>
      </c>
      <c r="D8" s="99"/>
    </row>
    <row r="9" spans="1:12" x14ac:dyDescent="0.2">
      <c r="A9" s="99"/>
      <c r="B9" s="100" t="s">
        <v>46</v>
      </c>
      <c r="C9" s="101" t="s">
        <v>48</v>
      </c>
      <c r="D9" s="99"/>
    </row>
    <row r="10" spans="1:12" x14ac:dyDescent="0.2">
      <c r="A10" s="99"/>
      <c r="B10" s="100" t="s">
        <v>47</v>
      </c>
      <c r="C10" s="101" t="s">
        <v>48</v>
      </c>
      <c r="D10" s="99"/>
    </row>
    <row r="11" spans="1:12" ht="12" thickBot="1" x14ac:dyDescent="0.25">
      <c r="A11" s="99"/>
      <c r="B11" s="99"/>
      <c r="C11" s="99"/>
      <c r="D11" s="99"/>
    </row>
    <row r="12" spans="1:12" x14ac:dyDescent="0.2">
      <c r="A12" s="99"/>
      <c r="B12" s="102" t="s">
        <v>49</v>
      </c>
      <c r="C12" s="103"/>
      <c r="D12" s="104"/>
      <c r="G12" s="105" t="s">
        <v>50</v>
      </c>
      <c r="H12" s="106">
        <f>D29-D31-J32</f>
        <v>-396</v>
      </c>
      <c r="I12" s="99"/>
      <c r="J12" s="99"/>
      <c r="K12" s="99"/>
      <c r="L12" s="99"/>
    </row>
    <row r="13" spans="1:12" x14ac:dyDescent="0.2">
      <c r="A13" s="99"/>
      <c r="B13" s="102" t="s">
        <v>51</v>
      </c>
      <c r="C13" s="107">
        <f>Berekening!$H$16</f>
        <v>24000</v>
      </c>
      <c r="D13" s="108"/>
      <c r="E13" s="109"/>
      <c r="G13" s="110" t="s">
        <v>52</v>
      </c>
      <c r="H13" s="111"/>
      <c r="I13" s="99"/>
      <c r="J13" s="99"/>
      <c r="K13" s="99"/>
      <c r="L13" s="99"/>
    </row>
    <row r="14" spans="1:12" x14ac:dyDescent="0.2">
      <c r="A14" s="99"/>
      <c r="B14" s="102" t="s">
        <v>53</v>
      </c>
      <c r="C14" s="103">
        <v>0</v>
      </c>
      <c r="D14" s="112"/>
      <c r="E14" s="109"/>
      <c r="G14" s="110" t="s">
        <v>54</v>
      </c>
      <c r="H14" s="111">
        <v>0</v>
      </c>
      <c r="I14" s="99"/>
      <c r="J14" s="99"/>
      <c r="K14" s="99"/>
      <c r="L14" s="99"/>
    </row>
    <row r="15" spans="1:12" x14ac:dyDescent="0.2">
      <c r="A15" s="99"/>
      <c r="B15" s="102" t="s">
        <v>55</v>
      </c>
      <c r="C15" s="113">
        <f>Berekening!$C$23</f>
        <v>1200</v>
      </c>
      <c r="D15" s="112"/>
      <c r="E15" s="114"/>
      <c r="G15" s="115"/>
      <c r="H15" s="116"/>
      <c r="I15" s="99"/>
      <c r="J15" s="99"/>
      <c r="K15" s="99"/>
      <c r="L15" s="99"/>
    </row>
    <row r="16" spans="1:12" ht="12" thickBot="1" x14ac:dyDescent="0.25">
      <c r="A16" s="99"/>
      <c r="B16" s="102" t="s">
        <v>56</v>
      </c>
      <c r="C16" s="113">
        <f>Berekening!$C$27</f>
        <v>3500</v>
      </c>
      <c r="D16" s="112"/>
      <c r="E16" s="114"/>
      <c r="G16" s="117" t="s">
        <v>57</v>
      </c>
      <c r="H16" s="118">
        <f>H12-H13+H14</f>
        <v>-396</v>
      </c>
      <c r="I16" s="99"/>
      <c r="J16" s="99"/>
      <c r="K16" s="99"/>
      <c r="L16" s="99"/>
    </row>
    <row r="17" spans="1:12" x14ac:dyDescent="0.2">
      <c r="A17" s="99"/>
      <c r="B17" s="102" t="s">
        <v>58</v>
      </c>
      <c r="C17" s="119">
        <f>IF(C10="Ja",D40,0)</f>
        <v>0</v>
      </c>
      <c r="D17" s="112"/>
      <c r="E17" s="114"/>
      <c r="G17" s="99"/>
      <c r="H17" s="99"/>
      <c r="I17" s="99"/>
      <c r="J17" s="99"/>
      <c r="K17" s="99"/>
      <c r="L17" s="99"/>
    </row>
    <row r="18" spans="1:12" x14ac:dyDescent="0.2">
      <c r="A18" s="99"/>
      <c r="B18" s="102" t="s">
        <v>59</v>
      </c>
      <c r="C18" s="120">
        <f>IF(AND(C8="ja",D34&gt;0),D34,0)</f>
        <v>7280</v>
      </c>
      <c r="D18" s="112"/>
      <c r="E18" s="114"/>
      <c r="G18" s="99"/>
      <c r="H18" s="99"/>
      <c r="I18" s="99"/>
      <c r="J18" s="99"/>
      <c r="K18" s="99"/>
      <c r="L18" s="99"/>
    </row>
    <row r="19" spans="1:12" x14ac:dyDescent="0.2">
      <c r="A19" s="99"/>
      <c r="B19" s="102" t="s">
        <v>60</v>
      </c>
      <c r="C19" s="121">
        <f>IF(C9="ja",D35,0)</f>
        <v>0</v>
      </c>
      <c r="D19" s="112"/>
      <c r="E19" s="114"/>
      <c r="G19" s="99"/>
      <c r="H19" s="99"/>
      <c r="I19" s="99"/>
      <c r="J19" s="99"/>
      <c r="K19" s="99"/>
      <c r="L19" s="99"/>
    </row>
    <row r="20" spans="1:12" x14ac:dyDescent="0.2">
      <c r="A20" s="99"/>
      <c r="B20" s="102"/>
      <c r="C20" s="121"/>
      <c r="D20" s="112"/>
      <c r="E20" s="114"/>
      <c r="G20" s="99"/>
      <c r="H20" s="99"/>
      <c r="I20" s="99"/>
      <c r="J20" s="99" t="s">
        <v>103</v>
      </c>
      <c r="K20" s="99"/>
      <c r="L20" s="99"/>
    </row>
    <row r="21" spans="1:12" x14ac:dyDescent="0.2">
      <c r="A21" s="99"/>
      <c r="B21" s="102"/>
      <c r="C21" s="122"/>
      <c r="D21" s="112"/>
      <c r="E21" s="114"/>
      <c r="G21" s="99"/>
      <c r="H21" s="99"/>
      <c r="I21" s="99"/>
      <c r="J21" s="99"/>
      <c r="K21" s="99"/>
      <c r="L21" s="99"/>
    </row>
    <row r="22" spans="1:12" x14ac:dyDescent="0.2">
      <c r="A22" s="99"/>
      <c r="B22" s="102" t="s">
        <v>89</v>
      </c>
      <c r="C22" s="121">
        <f>(C12+C13+C14+C15-C16-C17-C18-C19)*0.86</f>
        <v>12401.199999999999</v>
      </c>
      <c r="D22" s="112"/>
      <c r="E22" s="114"/>
      <c r="G22" s="99"/>
      <c r="H22" s="99"/>
      <c r="I22" s="99"/>
      <c r="J22" s="123" t="s">
        <v>62</v>
      </c>
      <c r="K22" s="124" t="s">
        <v>63</v>
      </c>
      <c r="L22" s="125" t="s">
        <v>64</v>
      </c>
    </row>
    <row r="23" spans="1:12" x14ac:dyDescent="0.2">
      <c r="A23" s="99"/>
      <c r="B23" s="104"/>
      <c r="C23" s="122"/>
      <c r="D23" s="112"/>
      <c r="E23" s="114"/>
      <c r="G23" s="99"/>
      <c r="H23" s="99"/>
      <c r="I23" s="99"/>
      <c r="J23" s="126" t="s">
        <v>65</v>
      </c>
      <c r="K23" s="127">
        <v>0</v>
      </c>
      <c r="L23" s="127">
        <v>19922</v>
      </c>
    </row>
    <row r="24" spans="1:12" x14ac:dyDescent="0.2">
      <c r="A24" s="99"/>
      <c r="B24" s="102" t="s">
        <v>104</v>
      </c>
      <c r="C24" s="121">
        <f>IF(C22&lt;L23,C22,L23-1)</f>
        <v>12401.199999999999</v>
      </c>
      <c r="D24" s="121">
        <f>ROUNDDOWN(C24*36.55%,0)</f>
        <v>4532</v>
      </c>
      <c r="E24" s="114"/>
      <c r="G24" s="99"/>
      <c r="H24" s="99"/>
      <c r="I24" s="99"/>
      <c r="J24" s="126" t="s">
        <v>67</v>
      </c>
      <c r="K24" s="127">
        <v>19923</v>
      </c>
      <c r="L24" s="127">
        <v>33715</v>
      </c>
    </row>
    <row r="25" spans="1:12" x14ac:dyDescent="0.2">
      <c r="A25" s="99"/>
      <c r="B25" s="102" t="s">
        <v>68</v>
      </c>
      <c r="C25" s="121">
        <f>IF(C22&lt;L24,C22-C24,L24-L23)</f>
        <v>0</v>
      </c>
      <c r="D25" s="121">
        <f>ROUNDDOWN(C25*40.4%,0)</f>
        <v>0</v>
      </c>
      <c r="E25" s="128"/>
      <c r="G25" s="99"/>
      <c r="H25" s="99"/>
      <c r="I25" s="99"/>
      <c r="J25" s="126" t="s">
        <v>69</v>
      </c>
      <c r="K25" s="127">
        <v>33716</v>
      </c>
      <c r="L25" s="127">
        <v>66421</v>
      </c>
    </row>
    <row r="26" spans="1:12" x14ac:dyDescent="0.2">
      <c r="A26" s="99"/>
      <c r="B26" s="102" t="s">
        <v>70</v>
      </c>
      <c r="C26" s="121">
        <f>IF(C22&lt;L25,C22-C24-C25,L24-L23)</f>
        <v>0</v>
      </c>
      <c r="D26" s="121">
        <f>ROUNDDOWN(C26*40.4%,0)</f>
        <v>0</v>
      </c>
      <c r="E26" s="128"/>
      <c r="G26" s="99"/>
      <c r="H26" s="99"/>
      <c r="I26" s="99"/>
      <c r="J26" s="126" t="s">
        <v>71</v>
      </c>
      <c r="K26" s="127">
        <v>66422</v>
      </c>
      <c r="L26" s="127"/>
    </row>
    <row r="27" spans="1:12" x14ac:dyDescent="0.2">
      <c r="A27" s="99"/>
      <c r="B27" s="102" t="s">
        <v>72</v>
      </c>
      <c r="C27" s="121">
        <f>IF(C22&gt;K26,C22-C26-C25-C24,0)</f>
        <v>0</v>
      </c>
      <c r="D27" s="121">
        <f>ROUNDDOWN(C27*52%,0)</f>
        <v>0</v>
      </c>
      <c r="E27" s="128"/>
      <c r="G27" s="99"/>
      <c r="H27" s="99"/>
      <c r="I27" s="99"/>
      <c r="J27" s="99"/>
      <c r="K27" s="99"/>
      <c r="L27" s="99"/>
    </row>
    <row r="28" spans="1:12" x14ac:dyDescent="0.2">
      <c r="A28" s="99"/>
      <c r="B28" s="104"/>
      <c r="C28" s="122"/>
      <c r="D28" s="112"/>
      <c r="E28" s="128"/>
      <c r="G28" s="99"/>
      <c r="H28" s="99"/>
      <c r="I28" s="99"/>
      <c r="J28" s="99"/>
      <c r="K28" s="99"/>
      <c r="L28" s="99"/>
    </row>
    <row r="29" spans="1:12" x14ac:dyDescent="0.2">
      <c r="A29" s="99"/>
      <c r="B29" s="102" t="s">
        <v>73</v>
      </c>
      <c r="C29" s="122"/>
      <c r="D29" s="129">
        <f>D24+D25+D26+D27</f>
        <v>4532</v>
      </c>
      <c r="E29" s="114"/>
      <c r="G29" s="99"/>
      <c r="H29" s="99"/>
      <c r="I29" s="99"/>
      <c r="J29" s="99"/>
      <c r="K29" s="99"/>
      <c r="L29" s="99"/>
    </row>
    <row r="30" spans="1:12" x14ac:dyDescent="0.2">
      <c r="A30" s="99"/>
      <c r="B30" s="99"/>
      <c r="C30" s="121"/>
      <c r="D30" s="99"/>
      <c r="G30" s="99"/>
      <c r="H30" s="99"/>
      <c r="I30" s="99"/>
      <c r="J30" s="99"/>
      <c r="K30" s="99"/>
      <c r="L30" s="99"/>
    </row>
    <row r="31" spans="1:12" x14ac:dyDescent="0.2">
      <c r="A31" s="99"/>
      <c r="B31" s="100" t="s">
        <v>102</v>
      </c>
      <c r="C31" s="99"/>
      <c r="D31" s="130">
        <v>1825</v>
      </c>
      <c r="G31" s="99"/>
      <c r="H31" s="99"/>
      <c r="I31" s="99"/>
      <c r="J31" s="99"/>
      <c r="K31" s="99"/>
      <c r="L31" s="99"/>
    </row>
    <row r="32" spans="1:12" x14ac:dyDescent="0.2">
      <c r="A32" s="99"/>
      <c r="B32" s="100" t="s">
        <v>101</v>
      </c>
      <c r="C32" s="99"/>
      <c r="D32" s="100">
        <f>IF(J32&lt;0,0,J32)</f>
        <v>3103</v>
      </c>
      <c r="G32" s="99" t="s">
        <v>76</v>
      </c>
      <c r="H32" s="99"/>
      <c r="I32" s="99"/>
      <c r="J32" s="131">
        <f>IF(C13&lt;9147,(1.8*C13/100),IF(AND(9148&lt;C13, C13&lt;19757),((C13-9147)*27.7%)+164,IF(C13&gt;34015,3103-((C13-34015)*4%),IF(C13&gt;111590,0,3103))))</f>
        <v>3103</v>
      </c>
      <c r="K32" s="99"/>
      <c r="L32" s="99"/>
    </row>
    <row r="33" spans="1:8" ht="12" thickBot="1" x14ac:dyDescent="0.25">
      <c r="A33" s="99"/>
      <c r="B33" s="99"/>
      <c r="C33" s="99"/>
      <c r="D33" s="122"/>
    </row>
    <row r="34" spans="1:8" ht="12" thickBot="1" x14ac:dyDescent="0.25">
      <c r="A34" s="99"/>
      <c r="B34" s="105" t="s">
        <v>99</v>
      </c>
      <c r="C34" s="132"/>
      <c r="D34" s="133">
        <f>IF(C12+C13+C14+C15-C17-C19*0.86&lt;7280,(C12+C13+C14+C15-C16-C17-C19),7280)</f>
        <v>7280</v>
      </c>
    </row>
    <row r="35" spans="1:8" ht="12" thickBot="1" x14ac:dyDescent="0.25">
      <c r="A35" s="99"/>
      <c r="B35" s="110" t="s">
        <v>100</v>
      </c>
      <c r="C35" s="104"/>
      <c r="D35" s="134">
        <v>2123</v>
      </c>
      <c r="F35" s="97" t="s">
        <v>77</v>
      </c>
      <c r="G35" s="153" t="s">
        <v>97</v>
      </c>
      <c r="H35" s="152">
        <f>IF(C24&lt;52753,(C24*0.055),2901)</f>
        <v>682.06599999999992</v>
      </c>
    </row>
    <row r="36" spans="1:8" ht="12" thickBot="1" x14ac:dyDescent="0.25">
      <c r="A36" s="99"/>
      <c r="B36" s="117"/>
      <c r="C36" s="135"/>
      <c r="D36" s="118"/>
    </row>
    <row r="37" spans="1:8" x14ac:dyDescent="0.2">
      <c r="A37" s="99"/>
      <c r="B37" s="99"/>
      <c r="C37" s="99"/>
      <c r="D37" s="99"/>
    </row>
    <row r="38" spans="1:8" ht="12" thickBot="1" x14ac:dyDescent="0.25">
      <c r="A38" s="99"/>
      <c r="B38" s="99"/>
      <c r="C38" s="99"/>
      <c r="D38" s="99"/>
    </row>
    <row r="39" spans="1:8" x14ac:dyDescent="0.2">
      <c r="A39" s="99"/>
      <c r="B39" s="105" t="s">
        <v>78</v>
      </c>
      <c r="C39" s="132"/>
      <c r="D39" s="136"/>
    </row>
    <row r="40" spans="1:8" x14ac:dyDescent="0.2">
      <c r="A40" s="99"/>
      <c r="B40" s="110" t="s">
        <v>79</v>
      </c>
      <c r="C40" s="104"/>
      <c r="D40" s="134">
        <f>IF(C13&gt;89991,10799,C13*12%)</f>
        <v>2880</v>
      </c>
    </row>
    <row r="41" spans="1:8" ht="12" thickBot="1" x14ac:dyDescent="0.25">
      <c r="A41" s="99"/>
      <c r="B41" s="117" t="s">
        <v>80</v>
      </c>
      <c r="C41" s="135"/>
      <c r="D41" s="137">
        <f>IF(C10="ja",D40,0)</f>
        <v>0</v>
      </c>
    </row>
    <row r="42" spans="1:8" x14ac:dyDescent="0.2">
      <c r="A42" s="99"/>
      <c r="B42" s="99"/>
      <c r="C42" s="99"/>
      <c r="D42" s="99"/>
    </row>
    <row r="43" spans="1:8" ht="12" thickBot="1" x14ac:dyDescent="0.25">
      <c r="A43" s="99"/>
      <c r="B43" s="99"/>
      <c r="C43" s="99"/>
      <c r="D43" s="99"/>
      <c r="E43" s="138"/>
      <c r="F43" s="138"/>
    </row>
    <row r="44" spans="1:8" x14ac:dyDescent="0.2">
      <c r="A44" s="99"/>
      <c r="B44" s="105" t="s">
        <v>81</v>
      </c>
      <c r="C44" s="132"/>
      <c r="D44" s="136"/>
      <c r="E44" s="138"/>
      <c r="F44" s="138"/>
    </row>
    <row r="45" spans="1:8" x14ac:dyDescent="0.2">
      <c r="A45" s="99"/>
      <c r="B45" s="115" t="s">
        <v>82</v>
      </c>
      <c r="C45" s="139">
        <f>C12</f>
        <v>0</v>
      </c>
      <c r="D45" s="116"/>
      <c r="E45" s="138"/>
      <c r="F45" s="140"/>
    </row>
    <row r="46" spans="1:8" x14ac:dyDescent="0.2">
      <c r="A46" s="99"/>
      <c r="B46" s="110" t="s">
        <v>51</v>
      </c>
      <c r="C46" s="141">
        <f>C13</f>
        <v>24000</v>
      </c>
      <c r="D46" s="116"/>
      <c r="E46" s="138"/>
      <c r="F46" s="138"/>
    </row>
    <row r="47" spans="1:8" x14ac:dyDescent="0.2">
      <c r="A47" s="99"/>
      <c r="B47" s="110" t="s">
        <v>83</v>
      </c>
      <c r="C47" s="141">
        <f>(H16)</f>
        <v>-396</v>
      </c>
      <c r="D47" s="116"/>
      <c r="E47" s="138"/>
      <c r="F47" s="138"/>
    </row>
    <row r="48" spans="1:8" x14ac:dyDescent="0.2">
      <c r="A48" s="99"/>
      <c r="B48" s="110" t="s">
        <v>84</v>
      </c>
      <c r="C48" s="141"/>
      <c r="D48" s="116"/>
      <c r="E48" s="138"/>
      <c r="F48" s="138"/>
    </row>
    <row r="49" spans="1:6" ht="12" thickBot="1" x14ac:dyDescent="0.25">
      <c r="A49" s="99"/>
      <c r="B49" s="110" t="s">
        <v>85</v>
      </c>
      <c r="C49" s="141">
        <f>D41</f>
        <v>0</v>
      </c>
      <c r="D49" s="116"/>
      <c r="E49" s="138"/>
      <c r="F49" s="138"/>
    </row>
    <row r="50" spans="1:6" ht="15.75" x14ac:dyDescent="0.25">
      <c r="A50" s="99"/>
      <c r="B50" s="115"/>
      <c r="C50" s="142"/>
      <c r="D50" s="143" t="s">
        <v>86</v>
      </c>
      <c r="E50" s="144"/>
      <c r="F50" s="138"/>
    </row>
    <row r="51" spans="1:6" ht="16.5" thickBot="1" x14ac:dyDescent="0.3">
      <c r="A51" s="99"/>
      <c r="B51" s="117" t="s">
        <v>87</v>
      </c>
      <c r="C51" s="145">
        <f>C46-C47-C48-C49+C45</f>
        <v>24396</v>
      </c>
      <c r="D51" s="146">
        <f>C51/12</f>
        <v>2033</v>
      </c>
      <c r="E51" s="144"/>
      <c r="F51" s="138"/>
    </row>
  </sheetData>
  <pageMargins left="0.75" right="0.75" top="1" bottom="1" header="0.5" footer="0.5"/>
  <pageSetup paperSize="9" scale="68" orientation="landscape" r:id="rId1"/>
  <headerFooter alignWithMargins="0">
    <oddHeader xml:space="preserve">&amp;L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L48"/>
  <sheetViews>
    <sheetView topLeftCell="A10" workbookViewId="0">
      <selection activeCell="O22" sqref="O22"/>
    </sheetView>
  </sheetViews>
  <sheetFormatPr defaultRowHeight="11.25" x14ac:dyDescent="0.2"/>
  <cols>
    <col min="1" max="1" width="3.7109375" style="97" customWidth="1"/>
    <col min="2" max="2" width="40.85546875" style="97" customWidth="1"/>
    <col min="3" max="3" width="12.42578125" style="97" customWidth="1"/>
    <col min="4" max="4" width="13" style="97" customWidth="1"/>
    <col min="5" max="5" width="2.28515625" style="97" customWidth="1"/>
    <col min="6" max="6" width="1.85546875" style="97" customWidth="1"/>
    <col min="7" max="7" width="22.140625" style="97" customWidth="1"/>
    <col min="8" max="8" width="13.7109375" style="97" customWidth="1"/>
    <col min="9" max="9" width="3.140625" style="97" customWidth="1"/>
    <col min="10" max="10" width="10.7109375" style="97" customWidth="1"/>
    <col min="11" max="11" width="10.140625" style="97" customWidth="1"/>
    <col min="12" max="12" width="9.85546875" style="97" customWidth="1"/>
    <col min="13" max="13" width="9.5703125" style="97" customWidth="1"/>
    <col min="14" max="16384" width="9.140625" style="97"/>
  </cols>
  <sheetData>
    <row r="3" spans="1:12" ht="18" x14ac:dyDescent="0.25">
      <c r="B3" s="98" t="s">
        <v>43</v>
      </c>
    </row>
    <row r="4" spans="1:12" x14ac:dyDescent="0.2">
      <c r="A4" s="99"/>
      <c r="B4" s="99"/>
      <c r="C4" s="99"/>
      <c r="D4" s="99"/>
    </row>
    <row r="5" spans="1:12" x14ac:dyDescent="0.2">
      <c r="A5" s="99"/>
      <c r="B5" s="100" t="s">
        <v>44</v>
      </c>
      <c r="C5" s="101" t="s">
        <v>45</v>
      </c>
      <c r="D5" s="99"/>
    </row>
    <row r="6" spans="1:12" x14ac:dyDescent="0.2">
      <c r="A6" s="99"/>
      <c r="B6" s="100" t="s">
        <v>46</v>
      </c>
      <c r="C6" s="101" t="s">
        <v>48</v>
      </c>
      <c r="D6" s="99"/>
    </row>
    <row r="7" spans="1:12" x14ac:dyDescent="0.2">
      <c r="A7" s="99"/>
      <c r="B7" s="100" t="s">
        <v>47</v>
      </c>
      <c r="C7" s="101" t="s">
        <v>48</v>
      </c>
      <c r="D7" s="99"/>
    </row>
    <row r="8" spans="1:12" ht="12" thickBot="1" x14ac:dyDescent="0.25">
      <c r="A8" s="99"/>
      <c r="B8" s="99"/>
      <c r="C8" s="99"/>
      <c r="D8" s="99"/>
    </row>
    <row r="9" spans="1:12" x14ac:dyDescent="0.2">
      <c r="A9" s="99"/>
      <c r="B9" s="102" t="s">
        <v>49</v>
      </c>
      <c r="C9" s="103"/>
      <c r="D9" s="104"/>
      <c r="G9" s="105" t="s">
        <v>50</v>
      </c>
      <c r="H9" s="106">
        <f>D26-D28-J29</f>
        <v>861</v>
      </c>
      <c r="I9" s="99"/>
      <c r="J9" s="99"/>
      <c r="K9" s="99"/>
      <c r="L9" s="99"/>
    </row>
    <row r="10" spans="1:12" x14ac:dyDescent="0.2">
      <c r="A10" s="99"/>
      <c r="B10" s="102" t="s">
        <v>51</v>
      </c>
      <c r="C10" s="147">
        <f>Berekening!$H$17</f>
        <v>28000</v>
      </c>
      <c r="D10" s="108"/>
      <c r="E10" s="109"/>
      <c r="G10" s="110" t="s">
        <v>52</v>
      </c>
      <c r="H10" s="111"/>
      <c r="I10" s="99"/>
      <c r="J10" s="99"/>
      <c r="K10" s="99"/>
      <c r="L10" s="99"/>
    </row>
    <row r="11" spans="1:12" x14ac:dyDescent="0.2">
      <c r="A11" s="99"/>
      <c r="B11" s="102" t="s">
        <v>53</v>
      </c>
      <c r="C11" s="103">
        <v>0</v>
      </c>
      <c r="D11" s="112"/>
      <c r="E11" s="109"/>
      <c r="G11" s="110" t="s">
        <v>54</v>
      </c>
      <c r="H11" s="111">
        <v>0</v>
      </c>
      <c r="I11" s="99"/>
      <c r="J11" s="99"/>
      <c r="K11" s="99"/>
      <c r="L11" s="99"/>
    </row>
    <row r="12" spans="1:12" x14ac:dyDescent="0.2">
      <c r="A12" s="99"/>
      <c r="B12" s="102" t="s">
        <v>55</v>
      </c>
      <c r="C12" s="148">
        <f>Berekening!$C$23</f>
        <v>1200</v>
      </c>
      <c r="D12" s="112"/>
      <c r="E12" s="114"/>
      <c r="G12" s="115"/>
      <c r="H12" s="116"/>
      <c r="I12" s="99"/>
      <c r="J12" s="99"/>
      <c r="K12" s="99"/>
      <c r="L12" s="99"/>
    </row>
    <row r="13" spans="1:12" ht="12" thickBot="1" x14ac:dyDescent="0.25">
      <c r="A13" s="99"/>
      <c r="B13" s="102" t="s">
        <v>56</v>
      </c>
      <c r="C13" s="148">
        <f>Berekening!$C$27</f>
        <v>3500</v>
      </c>
      <c r="D13" s="112"/>
      <c r="E13" s="114"/>
      <c r="G13" s="117" t="s">
        <v>57</v>
      </c>
      <c r="H13" s="118">
        <f>H9-H10+H11</f>
        <v>861</v>
      </c>
      <c r="I13" s="99"/>
      <c r="J13" s="99"/>
      <c r="K13" s="99"/>
      <c r="L13" s="99"/>
    </row>
    <row r="14" spans="1:12" x14ac:dyDescent="0.2">
      <c r="A14" s="99"/>
      <c r="B14" s="102" t="s">
        <v>58</v>
      </c>
      <c r="C14" s="119">
        <f>IF(C7="Ja",D37,0)</f>
        <v>0</v>
      </c>
      <c r="D14" s="112"/>
      <c r="E14" s="114"/>
      <c r="G14" s="99"/>
      <c r="H14" s="99"/>
      <c r="I14" s="99"/>
      <c r="J14" s="99"/>
      <c r="K14" s="99"/>
      <c r="L14" s="99"/>
    </row>
    <row r="15" spans="1:12" x14ac:dyDescent="0.2">
      <c r="A15" s="99"/>
      <c r="B15" s="102" t="s">
        <v>59</v>
      </c>
      <c r="C15" s="120">
        <f>IF(AND(C5="ja",D31&gt;0),D31,0)</f>
        <v>7280</v>
      </c>
      <c r="D15" s="112"/>
      <c r="E15" s="114"/>
      <c r="G15" s="99"/>
      <c r="H15" s="99"/>
      <c r="I15" s="99"/>
      <c r="J15" s="99"/>
      <c r="K15" s="99"/>
      <c r="L15" s="99"/>
    </row>
    <row r="16" spans="1:12" x14ac:dyDescent="0.2">
      <c r="A16" s="99"/>
      <c r="B16" s="102" t="s">
        <v>60</v>
      </c>
      <c r="C16" s="121">
        <f>IF(C6="ja",D32,0)</f>
        <v>0</v>
      </c>
      <c r="D16" s="112"/>
      <c r="E16" s="114"/>
      <c r="G16" s="99"/>
      <c r="H16" s="99"/>
      <c r="I16" s="99"/>
      <c r="J16" s="99"/>
      <c r="K16" s="99"/>
      <c r="L16" s="99"/>
    </row>
    <row r="17" spans="1:12" x14ac:dyDescent="0.2">
      <c r="A17" s="99"/>
      <c r="B17" s="102"/>
      <c r="C17" s="121"/>
      <c r="D17" s="112"/>
      <c r="E17" s="114"/>
      <c r="G17" s="99"/>
      <c r="H17" s="99"/>
      <c r="I17" s="99"/>
      <c r="J17" s="99" t="s">
        <v>61</v>
      </c>
      <c r="K17" s="99"/>
      <c r="L17" s="99"/>
    </row>
    <row r="18" spans="1:12" x14ac:dyDescent="0.2">
      <c r="A18" s="99"/>
      <c r="B18" s="102"/>
      <c r="C18" s="122"/>
      <c r="D18" s="112"/>
      <c r="E18" s="114"/>
      <c r="G18" s="99"/>
      <c r="H18" s="99"/>
      <c r="I18" s="99"/>
      <c r="J18" s="99"/>
      <c r="K18" s="99"/>
      <c r="L18" s="99"/>
    </row>
    <row r="19" spans="1:12" x14ac:dyDescent="0.2">
      <c r="A19" s="99"/>
      <c r="B19" s="102" t="s">
        <v>88</v>
      </c>
      <c r="C19" s="121">
        <f>(C9+C10+C11+C12-C13-C14-C15-C16)*0.86</f>
        <v>15841.199999999999</v>
      </c>
      <c r="D19" s="112"/>
      <c r="E19" s="114"/>
      <c r="G19" s="99"/>
      <c r="H19" s="99"/>
      <c r="I19" s="99"/>
      <c r="J19" s="123" t="s">
        <v>62</v>
      </c>
      <c r="K19" s="124" t="s">
        <v>63</v>
      </c>
      <c r="L19" s="125" t="s">
        <v>64</v>
      </c>
    </row>
    <row r="20" spans="1:12" x14ac:dyDescent="0.2">
      <c r="A20" s="99"/>
      <c r="B20" s="104"/>
      <c r="C20" s="122"/>
      <c r="D20" s="112"/>
      <c r="E20" s="114"/>
      <c r="G20" s="99"/>
      <c r="H20" s="99"/>
      <c r="I20" s="99"/>
      <c r="J20" s="126" t="s">
        <v>65</v>
      </c>
      <c r="K20" s="127">
        <v>0</v>
      </c>
      <c r="L20" s="127">
        <v>19922</v>
      </c>
    </row>
    <row r="21" spans="1:12" x14ac:dyDescent="0.2">
      <c r="A21" s="99"/>
      <c r="B21" s="102" t="s">
        <v>66</v>
      </c>
      <c r="C21" s="121">
        <f>IF(C19&lt;L20,C19,L20-1)</f>
        <v>15841.199999999999</v>
      </c>
      <c r="D21" s="121">
        <f>ROUNDDOWN(C21*36.55%,0)</f>
        <v>5789</v>
      </c>
      <c r="E21" s="114"/>
      <c r="G21" s="99"/>
      <c r="H21" s="99"/>
      <c r="I21" s="99"/>
      <c r="J21" s="126" t="s">
        <v>67</v>
      </c>
      <c r="K21" s="127">
        <v>19923</v>
      </c>
      <c r="L21" s="127">
        <v>33715</v>
      </c>
    </row>
    <row r="22" spans="1:12" x14ac:dyDescent="0.2">
      <c r="A22" s="99"/>
      <c r="B22" s="102" t="s">
        <v>68</v>
      </c>
      <c r="C22" s="121">
        <f>IF(C19&lt;L21,C19-C21,L21-L20)</f>
        <v>0</v>
      </c>
      <c r="D22" s="121">
        <f>ROUNDDOWN(C22*40.4%,0)</f>
        <v>0</v>
      </c>
      <c r="E22" s="128"/>
      <c r="G22" s="99"/>
      <c r="H22" s="99"/>
      <c r="I22" s="99"/>
      <c r="J22" s="126" t="s">
        <v>69</v>
      </c>
      <c r="K22" s="127">
        <v>33716</v>
      </c>
      <c r="L22" s="127">
        <v>66421</v>
      </c>
    </row>
    <row r="23" spans="1:12" x14ac:dyDescent="0.2">
      <c r="A23" s="99"/>
      <c r="B23" s="102" t="s">
        <v>70</v>
      </c>
      <c r="C23" s="121">
        <f>IF(C19&lt;L22,C19-C21-C22,L21-L20)</f>
        <v>0</v>
      </c>
      <c r="D23" s="121">
        <f>ROUNDDOWN(C23*40.4%,0)</f>
        <v>0</v>
      </c>
      <c r="E23" s="128"/>
      <c r="G23" s="99"/>
      <c r="H23" s="99"/>
      <c r="I23" s="99"/>
      <c r="J23" s="126" t="s">
        <v>71</v>
      </c>
      <c r="K23" s="127">
        <v>66422</v>
      </c>
      <c r="L23" s="127"/>
    </row>
    <row r="24" spans="1:12" x14ac:dyDescent="0.2">
      <c r="A24" s="99"/>
      <c r="B24" s="102" t="s">
        <v>72</v>
      </c>
      <c r="C24" s="121">
        <f>IF(C19&gt;K23,C19-C23-C22-C21,0)</f>
        <v>0</v>
      </c>
      <c r="D24" s="121">
        <f>ROUNDDOWN(C24*52%,0)</f>
        <v>0</v>
      </c>
      <c r="E24" s="128"/>
      <c r="G24" s="99"/>
      <c r="H24" s="99"/>
      <c r="I24" s="99"/>
      <c r="J24" s="99"/>
      <c r="K24" s="99"/>
      <c r="L24" s="99"/>
    </row>
    <row r="25" spans="1:12" x14ac:dyDescent="0.2">
      <c r="A25" s="99"/>
      <c r="B25" s="104"/>
      <c r="C25" s="122"/>
      <c r="D25" s="112"/>
      <c r="E25" s="128"/>
      <c r="G25" s="99"/>
      <c r="H25" s="99"/>
      <c r="I25" s="99"/>
      <c r="J25" s="99"/>
      <c r="K25" s="99"/>
      <c r="L25" s="99"/>
    </row>
    <row r="26" spans="1:12" x14ac:dyDescent="0.2">
      <c r="A26" s="99"/>
      <c r="B26" s="102" t="s">
        <v>73</v>
      </c>
      <c r="C26" s="122"/>
      <c r="D26" s="129">
        <f>D21+D22+D23+D24</f>
        <v>5789</v>
      </c>
      <c r="E26" s="114"/>
      <c r="G26" s="99"/>
      <c r="H26" s="99"/>
      <c r="I26" s="99"/>
      <c r="J26" s="99"/>
      <c r="K26" s="99"/>
      <c r="L26" s="99"/>
    </row>
    <row r="27" spans="1:12" x14ac:dyDescent="0.2">
      <c r="A27" s="99"/>
      <c r="B27" s="99"/>
      <c r="C27" s="121"/>
      <c r="D27" s="99"/>
      <c r="G27" s="99"/>
      <c r="H27" s="99"/>
      <c r="I27" s="99"/>
      <c r="J27" s="99"/>
      <c r="K27" s="99"/>
      <c r="L27" s="99"/>
    </row>
    <row r="28" spans="1:12" x14ac:dyDescent="0.2">
      <c r="A28" s="99"/>
      <c r="B28" s="100" t="s">
        <v>74</v>
      </c>
      <c r="C28" s="99"/>
      <c r="D28" s="130">
        <v>1825</v>
      </c>
      <c r="G28" s="99"/>
      <c r="H28" s="99"/>
      <c r="I28" s="99"/>
      <c r="J28" s="99"/>
      <c r="K28" s="99"/>
      <c r="L28" s="99"/>
    </row>
    <row r="29" spans="1:12" x14ac:dyDescent="0.2">
      <c r="A29" s="99"/>
      <c r="B29" s="100" t="s">
        <v>75</v>
      </c>
      <c r="C29" s="99"/>
      <c r="D29" s="100">
        <f>IF(J29&lt;0,0,J29)</f>
        <v>3103</v>
      </c>
      <c r="G29" s="99" t="s">
        <v>76</v>
      </c>
      <c r="H29" s="99"/>
      <c r="I29" s="99"/>
      <c r="J29" s="131">
        <f>IF(C10&lt;9147,(1.8*C10/100),IF(AND(9148&lt;C10, C10&lt;19757),((C10-9147)*27.7%)+164,IF(C10&gt;34015,3103-((C10-34015)*4%),IF(C10&gt;111590,0,3103))))</f>
        <v>3103</v>
      </c>
      <c r="K29" s="99"/>
      <c r="L29" s="99"/>
    </row>
    <row r="30" spans="1:12" ht="12" thickBot="1" x14ac:dyDescent="0.25">
      <c r="A30" s="99"/>
      <c r="B30" s="99"/>
      <c r="C30" s="99"/>
      <c r="D30" s="122"/>
    </row>
    <row r="31" spans="1:12" ht="12" thickBot="1" x14ac:dyDescent="0.25">
      <c r="A31" s="99"/>
      <c r="B31" s="105" t="s">
        <v>59</v>
      </c>
      <c r="C31" s="132"/>
      <c r="D31" s="149">
        <f>IF(C9+C10+C11+C12-C14-C16*0.86&lt;7280,(C9+C10+C11+C12-C13-C14-C16),7280)</f>
        <v>7280</v>
      </c>
    </row>
    <row r="32" spans="1:12" ht="12" thickBot="1" x14ac:dyDescent="0.25">
      <c r="A32" s="99"/>
      <c r="B32" s="110" t="s">
        <v>60</v>
      </c>
      <c r="C32" s="104"/>
      <c r="D32" s="134">
        <v>2123</v>
      </c>
      <c r="F32" s="97" t="s">
        <v>77</v>
      </c>
      <c r="G32" s="153" t="s">
        <v>97</v>
      </c>
      <c r="H32" s="152">
        <f>IF(C19&lt;52753,(C19*0.055),2901)</f>
        <v>871.26599999999996</v>
      </c>
    </row>
    <row r="33" spans="1:6" ht="12" thickBot="1" x14ac:dyDescent="0.25">
      <c r="A33" s="99"/>
      <c r="B33" s="117"/>
      <c r="C33" s="135"/>
      <c r="D33" s="118"/>
    </row>
    <row r="34" spans="1:6" x14ac:dyDescent="0.2">
      <c r="A34" s="99"/>
      <c r="B34" s="99"/>
      <c r="C34" s="99"/>
      <c r="D34" s="99"/>
    </row>
    <row r="35" spans="1:6" ht="12" thickBot="1" x14ac:dyDescent="0.25">
      <c r="A35" s="99"/>
      <c r="B35" s="99"/>
      <c r="C35" s="99"/>
      <c r="D35" s="99"/>
    </row>
    <row r="36" spans="1:6" x14ac:dyDescent="0.2">
      <c r="A36" s="99"/>
      <c r="B36" s="105" t="s">
        <v>78</v>
      </c>
      <c r="C36" s="132"/>
      <c r="D36" s="136"/>
    </row>
    <row r="37" spans="1:6" x14ac:dyDescent="0.2">
      <c r="A37" s="99"/>
      <c r="B37" s="110" t="s">
        <v>79</v>
      </c>
      <c r="C37" s="104"/>
      <c r="D37" s="134">
        <f>IF(C10&gt;89991,10799,C10*12%)</f>
        <v>3360</v>
      </c>
    </row>
    <row r="38" spans="1:6" ht="12" thickBot="1" x14ac:dyDescent="0.25">
      <c r="A38" s="99"/>
      <c r="B38" s="117" t="s">
        <v>80</v>
      </c>
      <c r="C38" s="135"/>
      <c r="D38" s="137">
        <f>IF(C7="ja",D37,0)</f>
        <v>0</v>
      </c>
    </row>
    <row r="39" spans="1:6" x14ac:dyDescent="0.2">
      <c r="A39" s="99"/>
      <c r="B39" s="99"/>
      <c r="C39" s="99"/>
      <c r="D39" s="99"/>
    </row>
    <row r="40" spans="1:6" ht="12" thickBot="1" x14ac:dyDescent="0.25">
      <c r="A40" s="99"/>
      <c r="B40" s="99"/>
      <c r="C40" s="99"/>
      <c r="D40" s="99"/>
      <c r="E40" s="138"/>
      <c r="F40" s="138"/>
    </row>
    <row r="41" spans="1:6" x14ac:dyDescent="0.2">
      <c r="A41" s="99"/>
      <c r="B41" s="105" t="s">
        <v>81</v>
      </c>
      <c r="C41" s="132"/>
      <c r="D41" s="136"/>
      <c r="E41" s="138"/>
      <c r="F41" s="138"/>
    </row>
    <row r="42" spans="1:6" x14ac:dyDescent="0.2">
      <c r="A42" s="99"/>
      <c r="B42" s="115" t="s">
        <v>82</v>
      </c>
      <c r="C42" s="139">
        <f>C9</f>
        <v>0</v>
      </c>
      <c r="D42" s="116"/>
      <c r="E42" s="138"/>
      <c r="F42" s="140"/>
    </row>
    <row r="43" spans="1:6" x14ac:dyDescent="0.2">
      <c r="A43" s="99"/>
      <c r="B43" s="110" t="s">
        <v>51</v>
      </c>
      <c r="C43" s="141">
        <f>C10</f>
        <v>28000</v>
      </c>
      <c r="D43" s="116"/>
      <c r="E43" s="138"/>
      <c r="F43" s="138"/>
    </row>
    <row r="44" spans="1:6" x14ac:dyDescent="0.2">
      <c r="A44" s="99"/>
      <c r="B44" s="110" t="s">
        <v>83</v>
      </c>
      <c r="C44" s="141">
        <f>(H13)</f>
        <v>861</v>
      </c>
      <c r="D44" s="116"/>
      <c r="E44" s="138"/>
      <c r="F44" s="138"/>
    </row>
    <row r="45" spans="1:6" x14ac:dyDescent="0.2">
      <c r="A45" s="99"/>
      <c r="B45" s="110" t="s">
        <v>84</v>
      </c>
      <c r="C45" s="141"/>
      <c r="D45" s="116"/>
      <c r="E45" s="138"/>
      <c r="F45" s="138"/>
    </row>
    <row r="46" spans="1:6" ht="12" thickBot="1" x14ac:dyDescent="0.25">
      <c r="A46" s="99"/>
      <c r="B46" s="110" t="s">
        <v>85</v>
      </c>
      <c r="C46" s="141">
        <f>D38</f>
        <v>0</v>
      </c>
      <c r="D46" s="116"/>
      <c r="E46" s="138"/>
      <c r="F46" s="138"/>
    </row>
    <row r="47" spans="1:6" ht="15.75" x14ac:dyDescent="0.25">
      <c r="A47" s="99"/>
      <c r="B47" s="115"/>
      <c r="C47" s="142"/>
      <c r="D47" s="143" t="s">
        <v>86</v>
      </c>
      <c r="E47" s="144"/>
      <c r="F47" s="138"/>
    </row>
    <row r="48" spans="1:6" ht="16.5" thickBot="1" x14ac:dyDescent="0.3">
      <c r="A48" s="99"/>
      <c r="B48" s="117" t="s">
        <v>87</v>
      </c>
      <c r="C48" s="145">
        <f>C43-C44-C45-C46+C42</f>
        <v>27139</v>
      </c>
      <c r="D48" s="146">
        <f>C48/12</f>
        <v>2261.5833333333335</v>
      </c>
      <c r="E48" s="144"/>
      <c r="F48" s="138"/>
    </row>
  </sheetData>
  <pageMargins left="0.75" right="0.75" top="1" bottom="1" header="0.5" footer="0.5"/>
  <pageSetup paperSize="9" scale="81" orientation="landscape" verticalDpi="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L48"/>
  <sheetViews>
    <sheetView topLeftCell="A11" workbookViewId="0">
      <selection activeCell="N32" sqref="N32"/>
    </sheetView>
  </sheetViews>
  <sheetFormatPr defaultRowHeight="11.25" x14ac:dyDescent="0.2"/>
  <cols>
    <col min="1" max="1" width="3.7109375" style="97" customWidth="1"/>
    <col min="2" max="2" width="40.85546875" style="97" customWidth="1"/>
    <col min="3" max="3" width="12.42578125" style="97" customWidth="1"/>
    <col min="4" max="4" width="13" style="97" customWidth="1"/>
    <col min="5" max="5" width="2.7109375" style="97" customWidth="1"/>
    <col min="6" max="6" width="1" style="97" customWidth="1"/>
    <col min="7" max="7" width="21" style="97" customWidth="1"/>
    <col min="8" max="8" width="10.28515625" style="97" customWidth="1"/>
    <col min="9" max="9" width="2.42578125" style="97" customWidth="1"/>
    <col min="10" max="10" width="11.7109375" style="97" customWidth="1"/>
    <col min="11" max="11" width="10.85546875" style="97" customWidth="1"/>
    <col min="12" max="12" width="9.85546875" style="97" customWidth="1"/>
    <col min="13" max="13" width="9.5703125" style="97" customWidth="1"/>
    <col min="14" max="16384" width="9.140625" style="97"/>
  </cols>
  <sheetData>
    <row r="3" spans="1:12" ht="18" x14ac:dyDescent="0.25">
      <c r="B3" s="98" t="s">
        <v>43</v>
      </c>
    </row>
    <row r="4" spans="1:12" x14ac:dyDescent="0.2">
      <c r="A4" s="99"/>
      <c r="B4" s="99"/>
      <c r="C4" s="99"/>
      <c r="D4" s="99"/>
    </row>
    <row r="5" spans="1:12" x14ac:dyDescent="0.2">
      <c r="A5" s="99"/>
      <c r="B5" s="100" t="s">
        <v>44</v>
      </c>
      <c r="C5" s="101" t="s">
        <v>45</v>
      </c>
      <c r="D5" s="99"/>
    </row>
    <row r="6" spans="1:12" x14ac:dyDescent="0.2">
      <c r="A6" s="99"/>
      <c r="B6" s="100" t="s">
        <v>46</v>
      </c>
      <c r="C6" s="101" t="s">
        <v>48</v>
      </c>
      <c r="D6" s="99"/>
    </row>
    <row r="7" spans="1:12" x14ac:dyDescent="0.2">
      <c r="A7" s="99"/>
      <c r="B7" s="100" t="s">
        <v>47</v>
      </c>
      <c r="C7" s="101" t="s">
        <v>48</v>
      </c>
      <c r="D7" s="99"/>
    </row>
    <row r="8" spans="1:12" ht="12" thickBot="1" x14ac:dyDescent="0.25">
      <c r="A8" s="99"/>
      <c r="B8" s="99"/>
      <c r="C8" s="99"/>
      <c r="D8" s="99"/>
    </row>
    <row r="9" spans="1:12" x14ac:dyDescent="0.2">
      <c r="A9" s="99"/>
      <c r="B9" s="102" t="s">
        <v>49</v>
      </c>
      <c r="C9" s="103"/>
      <c r="D9" s="104"/>
      <c r="G9" s="105" t="s">
        <v>50</v>
      </c>
      <c r="H9" s="106">
        <f>D26-D28-J29</f>
        <v>2119</v>
      </c>
      <c r="I9" s="99"/>
      <c r="J9" s="99"/>
      <c r="K9" s="99"/>
      <c r="L9" s="99"/>
    </row>
    <row r="10" spans="1:12" x14ac:dyDescent="0.2">
      <c r="A10" s="99"/>
      <c r="B10" s="102" t="s">
        <v>51</v>
      </c>
      <c r="C10" s="147">
        <f>Berekening!$H$18</f>
        <v>32000</v>
      </c>
      <c r="D10" s="108"/>
      <c r="E10" s="109"/>
      <c r="G10" s="110" t="s">
        <v>52</v>
      </c>
      <c r="H10" s="111"/>
      <c r="I10" s="99"/>
      <c r="J10" s="99"/>
      <c r="K10" s="99"/>
      <c r="L10" s="99"/>
    </row>
    <row r="11" spans="1:12" x14ac:dyDescent="0.2">
      <c r="A11" s="99"/>
      <c r="B11" s="102" t="s">
        <v>53</v>
      </c>
      <c r="C11" s="103">
        <v>0</v>
      </c>
      <c r="D11" s="112"/>
      <c r="E11" s="109"/>
      <c r="G11" s="110" t="s">
        <v>54</v>
      </c>
      <c r="H11" s="111">
        <v>0</v>
      </c>
      <c r="I11" s="99"/>
      <c r="J11" s="99"/>
      <c r="K11" s="99"/>
      <c r="L11" s="99"/>
    </row>
    <row r="12" spans="1:12" x14ac:dyDescent="0.2">
      <c r="A12" s="99"/>
      <c r="B12" s="102" t="s">
        <v>55</v>
      </c>
      <c r="C12" s="148">
        <f>Berekening!$C$23</f>
        <v>1200</v>
      </c>
      <c r="D12" s="112"/>
      <c r="E12" s="114"/>
      <c r="G12" s="115"/>
      <c r="H12" s="116"/>
      <c r="I12" s="99"/>
      <c r="J12" s="99"/>
      <c r="K12" s="99"/>
      <c r="L12" s="99"/>
    </row>
    <row r="13" spans="1:12" ht="12" thickBot="1" x14ac:dyDescent="0.25">
      <c r="A13" s="99"/>
      <c r="B13" s="102" t="s">
        <v>56</v>
      </c>
      <c r="C13" s="148">
        <f>Berekening!$C$27</f>
        <v>3500</v>
      </c>
      <c r="D13" s="112"/>
      <c r="E13" s="114"/>
      <c r="G13" s="117" t="s">
        <v>57</v>
      </c>
      <c r="H13" s="118">
        <f>H9-H10+H11</f>
        <v>2119</v>
      </c>
      <c r="I13" s="99"/>
      <c r="J13" s="99"/>
      <c r="K13" s="99"/>
      <c r="L13" s="99"/>
    </row>
    <row r="14" spans="1:12" x14ac:dyDescent="0.2">
      <c r="A14" s="99"/>
      <c r="B14" s="102" t="s">
        <v>58</v>
      </c>
      <c r="C14" s="119">
        <f>IF(C7="Ja",D37,0)</f>
        <v>0</v>
      </c>
      <c r="D14" s="112"/>
      <c r="E14" s="114"/>
      <c r="G14" s="99"/>
      <c r="H14" s="99"/>
      <c r="I14" s="99"/>
      <c r="J14" s="99"/>
      <c r="K14" s="99"/>
      <c r="L14" s="99"/>
    </row>
    <row r="15" spans="1:12" x14ac:dyDescent="0.2">
      <c r="A15" s="99"/>
      <c r="B15" s="102" t="s">
        <v>59</v>
      </c>
      <c r="C15" s="120">
        <f>IF(AND(C5="ja",D31&gt;0),D31,0)</f>
        <v>7280</v>
      </c>
      <c r="D15" s="112"/>
      <c r="E15" s="114"/>
      <c r="G15" s="99"/>
      <c r="H15" s="99"/>
      <c r="I15" s="99"/>
      <c r="J15" s="99"/>
      <c r="K15" s="99"/>
      <c r="L15" s="99"/>
    </row>
    <row r="16" spans="1:12" x14ac:dyDescent="0.2">
      <c r="A16" s="99"/>
      <c r="B16" s="102" t="s">
        <v>60</v>
      </c>
      <c r="C16" s="121">
        <f>IF(C6="ja",D32,0)</f>
        <v>0</v>
      </c>
      <c r="D16" s="112"/>
      <c r="E16" s="114"/>
      <c r="G16" s="99"/>
      <c r="H16" s="99"/>
      <c r="I16" s="99"/>
      <c r="J16" s="99"/>
      <c r="K16" s="99"/>
      <c r="L16" s="99"/>
    </row>
    <row r="17" spans="1:12" x14ac:dyDescent="0.2">
      <c r="A17" s="99"/>
      <c r="B17" s="102"/>
      <c r="C17" s="121"/>
      <c r="D17" s="112"/>
      <c r="E17" s="114"/>
      <c r="G17" s="99"/>
      <c r="H17" s="99"/>
      <c r="I17" s="99"/>
      <c r="J17" s="99" t="s">
        <v>61</v>
      </c>
      <c r="K17" s="99"/>
      <c r="L17" s="99"/>
    </row>
    <row r="18" spans="1:12" x14ac:dyDescent="0.2">
      <c r="A18" s="99"/>
      <c r="B18" s="102"/>
      <c r="C18" s="122"/>
      <c r="D18" s="112"/>
      <c r="E18" s="114"/>
      <c r="G18" s="99"/>
      <c r="H18" s="99"/>
      <c r="I18" s="99"/>
      <c r="J18" s="99"/>
      <c r="K18" s="99"/>
      <c r="L18" s="99"/>
    </row>
    <row r="19" spans="1:12" x14ac:dyDescent="0.2">
      <c r="A19" s="99"/>
      <c r="B19" s="102" t="s">
        <v>88</v>
      </c>
      <c r="C19" s="121">
        <f>(C9+C10+C11+C12-C13-C14-C15-C16)*0.86</f>
        <v>19281.2</v>
      </c>
      <c r="D19" s="112"/>
      <c r="E19" s="114"/>
      <c r="G19" s="99"/>
      <c r="H19" s="99"/>
      <c r="I19" s="99"/>
      <c r="J19" s="123" t="s">
        <v>62</v>
      </c>
      <c r="K19" s="124" t="s">
        <v>63</v>
      </c>
      <c r="L19" s="125" t="s">
        <v>64</v>
      </c>
    </row>
    <row r="20" spans="1:12" x14ac:dyDescent="0.2">
      <c r="A20" s="99"/>
      <c r="B20" s="104"/>
      <c r="C20" s="122"/>
      <c r="D20" s="112"/>
      <c r="E20" s="114"/>
      <c r="G20" s="99"/>
      <c r="H20" s="99"/>
      <c r="I20" s="99"/>
      <c r="J20" s="126" t="s">
        <v>65</v>
      </c>
      <c r="K20" s="127">
        <v>0</v>
      </c>
      <c r="L20" s="127">
        <v>19922</v>
      </c>
    </row>
    <row r="21" spans="1:12" x14ac:dyDescent="0.2">
      <c r="A21" s="99"/>
      <c r="B21" s="102" t="s">
        <v>66</v>
      </c>
      <c r="C21" s="121">
        <f>IF(C19&lt;L20,C19,L20-1)</f>
        <v>19281.2</v>
      </c>
      <c r="D21" s="121">
        <f>ROUNDDOWN(C21*36.55%,0)</f>
        <v>7047</v>
      </c>
      <c r="E21" s="114"/>
      <c r="G21" s="99"/>
      <c r="H21" s="99"/>
      <c r="I21" s="99"/>
      <c r="J21" s="126" t="s">
        <v>67</v>
      </c>
      <c r="K21" s="127">
        <v>19923</v>
      </c>
      <c r="L21" s="127">
        <v>33715</v>
      </c>
    </row>
    <row r="22" spans="1:12" x14ac:dyDescent="0.2">
      <c r="A22" s="99"/>
      <c r="B22" s="102" t="s">
        <v>68</v>
      </c>
      <c r="C22" s="121">
        <f>IF(C19&lt;L21,C19-C21,L21-L20)</f>
        <v>0</v>
      </c>
      <c r="D22" s="121">
        <f>ROUNDDOWN(C22*40.4%,0)</f>
        <v>0</v>
      </c>
      <c r="E22" s="128"/>
      <c r="G22" s="99"/>
      <c r="H22" s="99"/>
      <c r="I22" s="99"/>
      <c r="J22" s="126" t="s">
        <v>69</v>
      </c>
      <c r="K22" s="127">
        <v>33716</v>
      </c>
      <c r="L22" s="127">
        <v>66421</v>
      </c>
    </row>
    <row r="23" spans="1:12" x14ac:dyDescent="0.2">
      <c r="A23" s="99"/>
      <c r="B23" s="102" t="s">
        <v>70</v>
      </c>
      <c r="C23" s="121">
        <f>IF(C19&lt;L22,C19-C21-C22,L21-L20)</f>
        <v>0</v>
      </c>
      <c r="D23" s="121">
        <f>ROUNDDOWN(C23*40.4%,0)</f>
        <v>0</v>
      </c>
      <c r="E23" s="128"/>
      <c r="G23" s="99"/>
      <c r="H23" s="99"/>
      <c r="I23" s="99"/>
      <c r="J23" s="126" t="s">
        <v>71</v>
      </c>
      <c r="K23" s="127">
        <v>66422</v>
      </c>
      <c r="L23" s="127"/>
    </row>
    <row r="24" spans="1:12" x14ac:dyDescent="0.2">
      <c r="A24" s="99"/>
      <c r="B24" s="102" t="s">
        <v>72</v>
      </c>
      <c r="C24" s="121">
        <f>IF(C19&gt;K23,C19-C23-C22-C21,0)</f>
        <v>0</v>
      </c>
      <c r="D24" s="121">
        <f>ROUNDDOWN(C24*52%,0)</f>
        <v>0</v>
      </c>
      <c r="E24" s="128"/>
      <c r="G24" s="99"/>
      <c r="H24" s="99"/>
      <c r="I24" s="99"/>
      <c r="J24" s="99"/>
      <c r="K24" s="99"/>
      <c r="L24" s="99"/>
    </row>
    <row r="25" spans="1:12" x14ac:dyDescent="0.2">
      <c r="A25" s="99"/>
      <c r="B25" s="104"/>
      <c r="C25" s="122"/>
      <c r="D25" s="112"/>
      <c r="E25" s="128"/>
      <c r="G25" s="99"/>
      <c r="H25" s="99"/>
      <c r="I25" s="99"/>
      <c r="J25" s="99"/>
      <c r="K25" s="99"/>
      <c r="L25" s="99"/>
    </row>
    <row r="26" spans="1:12" x14ac:dyDescent="0.2">
      <c r="A26" s="99"/>
      <c r="B26" s="102" t="s">
        <v>73</v>
      </c>
      <c r="C26" s="122"/>
      <c r="D26" s="129">
        <f>D21+D22+D23+D24</f>
        <v>7047</v>
      </c>
      <c r="E26" s="114"/>
      <c r="G26" s="99"/>
      <c r="H26" s="99"/>
      <c r="I26" s="99"/>
      <c r="J26" s="99"/>
      <c r="K26" s="99"/>
      <c r="L26" s="99"/>
    </row>
    <row r="27" spans="1:12" x14ac:dyDescent="0.2">
      <c r="A27" s="99"/>
      <c r="B27" s="99"/>
      <c r="C27" s="121"/>
      <c r="D27" s="99"/>
      <c r="G27" s="99"/>
      <c r="H27" s="99"/>
      <c r="I27" s="99"/>
      <c r="J27" s="99"/>
      <c r="K27" s="99"/>
      <c r="L27" s="99"/>
    </row>
    <row r="28" spans="1:12" x14ac:dyDescent="0.2">
      <c r="A28" s="99"/>
      <c r="B28" s="100" t="s">
        <v>74</v>
      </c>
      <c r="C28" s="99"/>
      <c r="D28" s="130">
        <v>1825</v>
      </c>
      <c r="G28" s="99"/>
      <c r="H28" s="99"/>
      <c r="I28" s="99"/>
      <c r="J28" s="99"/>
      <c r="K28" s="99"/>
      <c r="L28" s="99"/>
    </row>
    <row r="29" spans="1:12" x14ac:dyDescent="0.2">
      <c r="A29" s="99"/>
      <c r="B29" s="100" t="s">
        <v>75</v>
      </c>
      <c r="C29" s="99"/>
      <c r="D29" s="100">
        <f>IF(J29&lt;0,0,J29)</f>
        <v>3103</v>
      </c>
      <c r="G29" s="99" t="s">
        <v>76</v>
      </c>
      <c r="H29" s="99"/>
      <c r="I29" s="99"/>
      <c r="J29" s="131">
        <f>IF(C10&lt;9147,(1.8*C10/100),IF(AND(9148&lt;C10, C10&lt;19757),((C10-9147)*27.7%)+164,IF(C10&gt;34015,3103-((C10-34015)*4%),IF(C10&gt;111590,0,3103))))</f>
        <v>3103</v>
      </c>
      <c r="K29" s="99"/>
      <c r="L29" s="99"/>
    </row>
    <row r="30" spans="1:12" ht="12" thickBot="1" x14ac:dyDescent="0.25">
      <c r="A30" s="99"/>
      <c r="B30" s="99"/>
      <c r="C30" s="99"/>
      <c r="D30" s="122"/>
      <c r="J30" s="97" t="b">
        <f>IF(C10&gt;9174&lt;34015,((C10-9147)*27.7%)+164)</f>
        <v>0</v>
      </c>
    </row>
    <row r="31" spans="1:12" ht="12" thickBot="1" x14ac:dyDescent="0.25">
      <c r="A31" s="99"/>
      <c r="B31" s="105" t="s">
        <v>59</v>
      </c>
      <c r="C31" s="132"/>
      <c r="D31" s="133">
        <f>IF(C9+C10+C11+C12-C14-C16*0.86&lt;7280,(C9+C10+C11+C12-C13-C14-C16),7280)</f>
        <v>7280</v>
      </c>
    </row>
    <row r="32" spans="1:12" ht="12" thickBot="1" x14ac:dyDescent="0.25">
      <c r="A32" s="99"/>
      <c r="B32" s="110" t="s">
        <v>60</v>
      </c>
      <c r="C32" s="104"/>
      <c r="D32" s="134">
        <v>2123</v>
      </c>
      <c r="F32" s="97" t="s">
        <v>77</v>
      </c>
      <c r="G32" s="153" t="s">
        <v>98</v>
      </c>
      <c r="H32" s="152">
        <f>IF(C19&lt;52753,(C19*0.055),2901)</f>
        <v>1060.4660000000001</v>
      </c>
    </row>
    <row r="33" spans="1:6" ht="12" thickBot="1" x14ac:dyDescent="0.25">
      <c r="A33" s="99"/>
      <c r="B33" s="117"/>
      <c r="C33" s="135"/>
      <c r="D33" s="118"/>
    </row>
    <row r="34" spans="1:6" x14ac:dyDescent="0.2">
      <c r="A34" s="99"/>
      <c r="B34" s="99"/>
      <c r="C34" s="99"/>
      <c r="D34" s="99"/>
    </row>
    <row r="35" spans="1:6" ht="12" thickBot="1" x14ac:dyDescent="0.25">
      <c r="A35" s="99"/>
      <c r="B35" s="99"/>
      <c r="C35" s="99"/>
      <c r="D35" s="99"/>
    </row>
    <row r="36" spans="1:6" x14ac:dyDescent="0.2">
      <c r="A36" s="99"/>
      <c r="B36" s="105" t="s">
        <v>78</v>
      </c>
      <c r="C36" s="132"/>
      <c r="D36" s="136"/>
    </row>
    <row r="37" spans="1:6" x14ac:dyDescent="0.2">
      <c r="A37" s="99"/>
      <c r="B37" s="110" t="s">
        <v>79</v>
      </c>
      <c r="C37" s="104"/>
      <c r="D37" s="134">
        <f>IF(C10&gt;89991,10799,C10*12%)</f>
        <v>3840</v>
      </c>
    </row>
    <row r="38" spans="1:6" ht="12" thickBot="1" x14ac:dyDescent="0.25">
      <c r="A38" s="99"/>
      <c r="B38" s="117" t="s">
        <v>80</v>
      </c>
      <c r="C38" s="135"/>
      <c r="D38" s="137">
        <f>IF(C7="ja",D37,0)</f>
        <v>0</v>
      </c>
    </row>
    <row r="39" spans="1:6" x14ac:dyDescent="0.2">
      <c r="A39" s="99"/>
      <c r="B39" s="99"/>
      <c r="C39" s="99"/>
      <c r="D39" s="99"/>
    </row>
    <row r="40" spans="1:6" ht="12" thickBot="1" x14ac:dyDescent="0.25">
      <c r="A40" s="99"/>
      <c r="B40" s="99"/>
      <c r="C40" s="99"/>
      <c r="D40" s="99"/>
      <c r="E40" s="138"/>
      <c r="F40" s="138"/>
    </row>
    <row r="41" spans="1:6" x14ac:dyDescent="0.2">
      <c r="A41" s="99"/>
      <c r="B41" s="105" t="s">
        <v>81</v>
      </c>
      <c r="C41" s="132"/>
      <c r="D41" s="136"/>
      <c r="E41" s="138"/>
      <c r="F41" s="138"/>
    </row>
    <row r="42" spans="1:6" x14ac:dyDescent="0.2">
      <c r="A42" s="99"/>
      <c r="B42" s="115" t="s">
        <v>82</v>
      </c>
      <c r="C42" s="139">
        <f>C9</f>
        <v>0</v>
      </c>
      <c r="D42" s="116"/>
      <c r="E42" s="138"/>
      <c r="F42" s="140"/>
    </row>
    <row r="43" spans="1:6" x14ac:dyDescent="0.2">
      <c r="A43" s="99"/>
      <c r="B43" s="110" t="s">
        <v>51</v>
      </c>
      <c r="C43" s="141">
        <f>C10</f>
        <v>32000</v>
      </c>
      <c r="D43" s="116"/>
      <c r="E43" s="138"/>
      <c r="F43" s="138"/>
    </row>
    <row r="44" spans="1:6" x14ac:dyDescent="0.2">
      <c r="A44" s="99"/>
      <c r="B44" s="110" t="s">
        <v>83</v>
      </c>
      <c r="C44" s="141">
        <f>(H13)</f>
        <v>2119</v>
      </c>
      <c r="D44" s="116"/>
      <c r="E44" s="138"/>
      <c r="F44" s="138"/>
    </row>
    <row r="45" spans="1:6" x14ac:dyDescent="0.2">
      <c r="A45" s="99"/>
      <c r="B45" s="110" t="s">
        <v>84</v>
      </c>
      <c r="C45" s="141"/>
      <c r="D45" s="116"/>
      <c r="E45" s="138"/>
      <c r="F45" s="138"/>
    </row>
    <row r="46" spans="1:6" ht="12" thickBot="1" x14ac:dyDescent="0.25">
      <c r="A46" s="99"/>
      <c r="B46" s="110" t="s">
        <v>85</v>
      </c>
      <c r="C46" s="141">
        <f>D38</f>
        <v>0</v>
      </c>
      <c r="D46" s="116"/>
      <c r="E46" s="138"/>
      <c r="F46" s="138"/>
    </row>
    <row r="47" spans="1:6" ht="15.75" x14ac:dyDescent="0.25">
      <c r="A47" s="99"/>
      <c r="B47" s="115"/>
      <c r="C47" s="142"/>
      <c r="D47" s="143" t="s">
        <v>86</v>
      </c>
      <c r="E47" s="144"/>
      <c r="F47" s="138"/>
    </row>
    <row r="48" spans="1:6" ht="16.5" thickBot="1" x14ac:dyDescent="0.3">
      <c r="A48" s="99"/>
      <c r="B48" s="117" t="s">
        <v>87</v>
      </c>
      <c r="C48" s="145">
        <f>C43-C44-C45-C46+C42</f>
        <v>29881</v>
      </c>
      <c r="D48" s="146">
        <f>C48/12</f>
        <v>2490.0833333333335</v>
      </c>
      <c r="E48" s="144"/>
      <c r="F48" s="138"/>
    </row>
  </sheetData>
  <pageMargins left="0.75" right="0.75" top="1" bottom="1" header="0.5" footer="0.5"/>
  <pageSetup paperSize="9" scale="81" orientation="landscape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L48"/>
  <sheetViews>
    <sheetView topLeftCell="A8" workbookViewId="0">
      <selection activeCell="L23" sqref="J19:L23"/>
    </sheetView>
  </sheetViews>
  <sheetFormatPr defaultRowHeight="11.25" x14ac:dyDescent="0.2"/>
  <cols>
    <col min="1" max="1" width="3.7109375" style="97" customWidth="1"/>
    <col min="2" max="2" width="40.85546875" style="97" customWidth="1"/>
    <col min="3" max="3" width="12.42578125" style="97" customWidth="1"/>
    <col min="4" max="4" width="13" style="97" customWidth="1"/>
    <col min="5" max="5" width="3.5703125" style="97" customWidth="1"/>
    <col min="6" max="6" width="2.42578125" style="97" customWidth="1"/>
    <col min="7" max="7" width="20.28515625" style="97" customWidth="1"/>
    <col min="8" max="8" width="12" style="97" customWidth="1"/>
    <col min="9" max="9" width="2.85546875" style="97" customWidth="1"/>
    <col min="10" max="10" width="9.7109375" style="97" customWidth="1"/>
    <col min="11" max="11" width="12.28515625" style="97" customWidth="1"/>
    <col min="12" max="12" width="9.85546875" style="97" customWidth="1"/>
    <col min="13" max="13" width="9.5703125" style="97" customWidth="1"/>
    <col min="14" max="16384" width="9.140625" style="97"/>
  </cols>
  <sheetData>
    <row r="3" spans="1:12" ht="18" x14ac:dyDescent="0.25">
      <c r="B3" s="98" t="s">
        <v>43</v>
      </c>
    </row>
    <row r="4" spans="1:12" x14ac:dyDescent="0.2">
      <c r="A4" s="99"/>
      <c r="B4" s="99"/>
      <c r="C4" s="99"/>
      <c r="D4" s="99"/>
    </row>
    <row r="5" spans="1:12" x14ac:dyDescent="0.2">
      <c r="A5" s="99"/>
      <c r="B5" s="100" t="s">
        <v>44</v>
      </c>
      <c r="C5" s="101" t="s">
        <v>45</v>
      </c>
      <c r="D5" s="99"/>
    </row>
    <row r="6" spans="1:12" x14ac:dyDescent="0.2">
      <c r="A6" s="99"/>
      <c r="B6" s="100" t="s">
        <v>46</v>
      </c>
      <c r="C6" s="101" t="s">
        <v>48</v>
      </c>
      <c r="D6" s="99"/>
    </row>
    <row r="7" spans="1:12" x14ac:dyDescent="0.2">
      <c r="A7" s="99"/>
      <c r="B7" s="100" t="s">
        <v>47</v>
      </c>
      <c r="C7" s="101" t="s">
        <v>48</v>
      </c>
      <c r="D7" s="99"/>
    </row>
    <row r="8" spans="1:12" ht="12" thickBot="1" x14ac:dyDescent="0.25">
      <c r="A8" s="99"/>
      <c r="B8" s="99"/>
      <c r="C8" s="99"/>
      <c r="D8" s="99"/>
    </row>
    <row r="9" spans="1:12" x14ac:dyDescent="0.2">
      <c r="A9" s="99"/>
      <c r="B9" s="102" t="s">
        <v>49</v>
      </c>
      <c r="C9" s="103"/>
      <c r="D9" s="104"/>
      <c r="G9" s="105" t="s">
        <v>50</v>
      </c>
      <c r="H9" s="106">
        <f>D26-D28-J29</f>
        <v>20610.400000000001</v>
      </c>
      <c r="I9" s="99"/>
      <c r="J9" s="99"/>
      <c r="K9" s="99"/>
      <c r="L9" s="99"/>
    </row>
    <row r="10" spans="1:12" x14ac:dyDescent="0.2">
      <c r="A10" s="99"/>
      <c r="B10" s="102" t="s">
        <v>51</v>
      </c>
      <c r="C10" s="147">
        <f>Berekening!$H$19</f>
        <v>80000</v>
      </c>
      <c r="D10" s="108"/>
      <c r="E10" s="109"/>
      <c r="G10" s="110" t="s">
        <v>52</v>
      </c>
      <c r="H10" s="111"/>
      <c r="I10" s="99"/>
      <c r="J10" s="99"/>
      <c r="K10" s="99"/>
      <c r="L10" s="99"/>
    </row>
    <row r="11" spans="1:12" x14ac:dyDescent="0.2">
      <c r="A11" s="99"/>
      <c r="B11" s="102" t="s">
        <v>53</v>
      </c>
      <c r="C11" s="103">
        <v>0</v>
      </c>
      <c r="D11" s="112"/>
      <c r="E11" s="109"/>
      <c r="G11" s="110" t="s">
        <v>54</v>
      </c>
      <c r="H11" s="111">
        <v>0</v>
      </c>
      <c r="I11" s="99"/>
      <c r="J11" s="99"/>
      <c r="K11" s="99"/>
      <c r="L11" s="99"/>
    </row>
    <row r="12" spans="1:12" x14ac:dyDescent="0.2">
      <c r="A12" s="99"/>
      <c r="B12" s="102" t="s">
        <v>55</v>
      </c>
      <c r="C12" s="148">
        <f>Berekening!$C$23</f>
        <v>1200</v>
      </c>
      <c r="D12" s="112"/>
      <c r="E12" s="114"/>
      <c r="G12" s="115"/>
      <c r="H12" s="116"/>
      <c r="I12" s="99"/>
      <c r="J12" s="99"/>
      <c r="K12" s="99"/>
      <c r="L12" s="99"/>
    </row>
    <row r="13" spans="1:12" ht="12" thickBot="1" x14ac:dyDescent="0.25">
      <c r="A13" s="99"/>
      <c r="B13" s="102" t="s">
        <v>56</v>
      </c>
      <c r="C13" s="148">
        <f>Berekening!$C$27</f>
        <v>3500</v>
      </c>
      <c r="D13" s="112"/>
      <c r="E13" s="114"/>
      <c r="G13" s="117" t="s">
        <v>57</v>
      </c>
      <c r="H13" s="118">
        <f>H9-H10+H11</f>
        <v>20610.400000000001</v>
      </c>
      <c r="I13" s="99"/>
      <c r="J13" s="99"/>
      <c r="K13" s="99"/>
      <c r="L13" s="99"/>
    </row>
    <row r="14" spans="1:12" x14ac:dyDescent="0.2">
      <c r="A14" s="99"/>
      <c r="B14" s="102" t="s">
        <v>58</v>
      </c>
      <c r="C14" s="119">
        <f>IF(C7="Ja",D37,0)</f>
        <v>0</v>
      </c>
      <c r="D14" s="112"/>
      <c r="E14" s="114"/>
      <c r="G14" s="99"/>
      <c r="H14" s="99"/>
      <c r="I14" s="99"/>
      <c r="J14" s="99"/>
      <c r="K14" s="99"/>
      <c r="L14" s="99"/>
    </row>
    <row r="15" spans="1:12" x14ac:dyDescent="0.2">
      <c r="A15" s="99"/>
      <c r="B15" s="102" t="s">
        <v>59</v>
      </c>
      <c r="C15" s="120">
        <f>IF(AND(C5="ja",D31&gt;0),D31,0)</f>
        <v>7280</v>
      </c>
      <c r="D15" s="112"/>
      <c r="E15" s="114"/>
      <c r="G15" s="99"/>
      <c r="H15" s="99"/>
      <c r="I15" s="99"/>
      <c r="J15" s="99"/>
      <c r="K15" s="99"/>
      <c r="L15" s="99"/>
    </row>
    <row r="16" spans="1:12" x14ac:dyDescent="0.2">
      <c r="A16" s="99"/>
      <c r="B16" s="102" t="s">
        <v>60</v>
      </c>
      <c r="C16" s="121">
        <f>IF(C6="ja",D32,0)</f>
        <v>0</v>
      </c>
      <c r="D16" s="112"/>
      <c r="E16" s="114"/>
      <c r="G16" s="99"/>
      <c r="H16" s="99"/>
      <c r="I16" s="99"/>
      <c r="J16" s="99"/>
      <c r="K16" s="99"/>
      <c r="L16" s="99"/>
    </row>
    <row r="17" spans="1:12" x14ac:dyDescent="0.2">
      <c r="A17" s="99"/>
      <c r="B17" s="102"/>
      <c r="C17" s="121"/>
      <c r="D17" s="112"/>
      <c r="E17" s="114"/>
      <c r="G17" s="99"/>
      <c r="H17" s="99"/>
      <c r="I17" s="99"/>
      <c r="J17" s="99" t="s">
        <v>61</v>
      </c>
      <c r="K17" s="99"/>
      <c r="L17" s="99"/>
    </row>
    <row r="18" spans="1:12" x14ac:dyDescent="0.2">
      <c r="A18" s="99"/>
      <c r="B18" s="102"/>
      <c r="C18" s="122"/>
      <c r="D18" s="112"/>
      <c r="E18" s="114"/>
      <c r="G18" s="99"/>
      <c r="H18" s="99"/>
      <c r="I18" s="99"/>
      <c r="J18" s="99"/>
      <c r="K18" s="99"/>
      <c r="L18" s="99"/>
    </row>
    <row r="19" spans="1:12" x14ac:dyDescent="0.2">
      <c r="A19" s="99"/>
      <c r="B19" s="102" t="s">
        <v>90</v>
      </c>
      <c r="C19" s="121">
        <f>(C9+C10+C11+C12-C13-C14-C15-C16)*0.86</f>
        <v>60561.2</v>
      </c>
      <c r="D19" s="112"/>
      <c r="E19" s="114"/>
      <c r="G19" s="99"/>
      <c r="H19" s="99"/>
      <c r="I19" s="99"/>
      <c r="J19" s="123" t="s">
        <v>62</v>
      </c>
      <c r="K19" s="124" t="s">
        <v>63</v>
      </c>
      <c r="L19" s="125" t="s">
        <v>64</v>
      </c>
    </row>
    <row r="20" spans="1:12" x14ac:dyDescent="0.2">
      <c r="A20" s="99"/>
      <c r="B20" s="104"/>
      <c r="C20" s="122"/>
      <c r="D20" s="112"/>
      <c r="E20" s="114"/>
      <c r="G20" s="99"/>
      <c r="H20" s="99"/>
      <c r="I20" s="99"/>
      <c r="J20" s="126" t="s">
        <v>65</v>
      </c>
      <c r="K20" s="127">
        <v>0</v>
      </c>
      <c r="L20" s="127">
        <v>19922</v>
      </c>
    </row>
    <row r="21" spans="1:12" x14ac:dyDescent="0.2">
      <c r="A21" s="99"/>
      <c r="B21" s="102" t="s">
        <v>66</v>
      </c>
      <c r="C21" s="121">
        <f>IF(C19&lt;L20,C19,L20-1)</f>
        <v>19921</v>
      </c>
      <c r="D21" s="121">
        <f>ROUNDDOWN(C21*36.55%,0)</f>
        <v>7281</v>
      </c>
      <c r="E21" s="114"/>
      <c r="G21" s="99"/>
      <c r="H21" s="99"/>
      <c r="I21" s="99"/>
      <c r="J21" s="126" t="s">
        <v>67</v>
      </c>
      <c r="K21" s="127">
        <v>19923</v>
      </c>
      <c r="L21" s="127">
        <v>33715</v>
      </c>
    </row>
    <row r="22" spans="1:12" x14ac:dyDescent="0.2">
      <c r="A22" s="99"/>
      <c r="B22" s="102" t="s">
        <v>68</v>
      </c>
      <c r="C22" s="121">
        <f>IF(C19&lt;L21,C19-C21,L21-L20)</f>
        <v>13793</v>
      </c>
      <c r="D22" s="121">
        <f>ROUNDDOWN(C22*40.4%,0)</f>
        <v>5572</v>
      </c>
      <c r="E22" s="128"/>
      <c r="G22" s="99"/>
      <c r="H22" s="99"/>
      <c r="I22" s="99"/>
      <c r="J22" s="126" t="s">
        <v>69</v>
      </c>
      <c r="K22" s="127">
        <v>33716</v>
      </c>
      <c r="L22" s="127">
        <v>66421</v>
      </c>
    </row>
    <row r="23" spans="1:12" x14ac:dyDescent="0.2">
      <c r="A23" s="99"/>
      <c r="B23" s="102" t="s">
        <v>70</v>
      </c>
      <c r="C23" s="121">
        <f>IF(C19&lt;L22,C19-C21-C22,L21-L20)</f>
        <v>26847.199999999997</v>
      </c>
      <c r="D23" s="121">
        <f>ROUNDDOWN(C23*40.4%,0)</f>
        <v>10846</v>
      </c>
      <c r="E23" s="128"/>
      <c r="G23" s="99"/>
      <c r="H23" s="99"/>
      <c r="I23" s="99"/>
      <c r="J23" s="126" t="s">
        <v>71</v>
      </c>
      <c r="K23" s="127">
        <v>66422</v>
      </c>
      <c r="L23" s="127"/>
    </row>
    <row r="24" spans="1:12" x14ac:dyDescent="0.2">
      <c r="A24" s="99"/>
      <c r="B24" s="102" t="s">
        <v>72</v>
      </c>
      <c r="C24" s="121">
        <f>IF(C19&gt;K23,C19-C23-C22-C21,0)</f>
        <v>0</v>
      </c>
      <c r="D24" s="121">
        <f>ROUNDDOWN(C24*52%,0)</f>
        <v>0</v>
      </c>
      <c r="E24" s="128"/>
      <c r="G24" s="99"/>
      <c r="H24" s="99"/>
      <c r="I24" s="99"/>
      <c r="J24" s="99"/>
      <c r="K24" s="99"/>
      <c r="L24" s="99"/>
    </row>
    <row r="25" spans="1:12" x14ac:dyDescent="0.2">
      <c r="A25" s="99"/>
      <c r="B25" s="104"/>
      <c r="C25" s="122"/>
      <c r="D25" s="112"/>
      <c r="E25" s="128"/>
      <c r="G25" s="99"/>
      <c r="H25" s="99"/>
      <c r="I25" s="99"/>
      <c r="J25" s="99"/>
      <c r="K25" s="99"/>
      <c r="L25" s="99"/>
    </row>
    <row r="26" spans="1:12" x14ac:dyDescent="0.2">
      <c r="A26" s="99"/>
      <c r="B26" s="102" t="s">
        <v>73</v>
      </c>
      <c r="C26" s="122"/>
      <c r="D26" s="129">
        <f>D21+D22+D23+D24</f>
        <v>23699</v>
      </c>
      <c r="E26" s="114"/>
      <c r="G26" s="99"/>
      <c r="H26" s="99"/>
      <c r="I26" s="99"/>
      <c r="J26" s="99"/>
      <c r="K26" s="99"/>
      <c r="L26" s="99"/>
    </row>
    <row r="27" spans="1:12" x14ac:dyDescent="0.2">
      <c r="A27" s="99"/>
      <c r="B27" s="99"/>
      <c r="C27" s="121"/>
      <c r="D27" s="99"/>
      <c r="G27" s="99"/>
      <c r="H27" s="99"/>
      <c r="I27" s="99"/>
      <c r="J27" s="99"/>
      <c r="K27" s="99"/>
      <c r="L27" s="99"/>
    </row>
    <row r="28" spans="1:12" x14ac:dyDescent="0.2">
      <c r="A28" s="99"/>
      <c r="B28" s="100" t="s">
        <v>74</v>
      </c>
      <c r="C28" s="99"/>
      <c r="D28" s="130">
        <v>1825</v>
      </c>
      <c r="G28" s="99"/>
      <c r="H28" s="99"/>
      <c r="I28" s="99"/>
      <c r="J28" s="99"/>
      <c r="K28" s="99"/>
      <c r="L28" s="99"/>
    </row>
    <row r="29" spans="1:12" x14ac:dyDescent="0.2">
      <c r="A29" s="99"/>
      <c r="B29" s="100" t="s">
        <v>75</v>
      </c>
      <c r="C29" s="99"/>
      <c r="D29" s="100">
        <f>IF(J29&lt;0,0,J29)</f>
        <v>1263.5999999999999</v>
      </c>
      <c r="G29" s="99" t="s">
        <v>76</v>
      </c>
      <c r="H29" s="99"/>
      <c r="I29" s="99"/>
      <c r="J29" s="131">
        <f>IF(C10&lt;9147,(1.8*C10/100),IF(AND(9148&lt;C10, C10&lt;19757),((C10-9147)*27.7%)+164,IF(C10&gt;34015,3103-((C10-34015)*4%),IF(C10&gt;111590,0,3103))))</f>
        <v>1263.5999999999999</v>
      </c>
      <c r="K29" s="99"/>
      <c r="L29" s="99"/>
    </row>
    <row r="30" spans="1:12" ht="12" thickBot="1" x14ac:dyDescent="0.25">
      <c r="A30" s="99"/>
      <c r="B30" s="99"/>
      <c r="C30" s="99"/>
      <c r="D30" s="122"/>
    </row>
    <row r="31" spans="1:12" ht="12" thickBot="1" x14ac:dyDescent="0.25">
      <c r="A31" s="99"/>
      <c r="B31" s="105" t="s">
        <v>59</v>
      </c>
      <c r="C31" s="132"/>
      <c r="D31" s="133">
        <f>IF(C9+C10+C11+C12-C14-C16*0.86&lt;7280,(C9+C10+C11+C12-C13-C14-C16),7280)</f>
        <v>7280</v>
      </c>
    </row>
    <row r="32" spans="1:12" ht="12" thickBot="1" x14ac:dyDescent="0.25">
      <c r="A32" s="99"/>
      <c r="B32" s="110" t="s">
        <v>60</v>
      </c>
      <c r="C32" s="104"/>
      <c r="D32" s="134">
        <v>2123</v>
      </c>
      <c r="F32" s="97" t="s">
        <v>77</v>
      </c>
      <c r="G32" s="153" t="s">
        <v>97</v>
      </c>
      <c r="H32" s="152">
        <f>IF(C19&lt;52753,(C19*0.055),2901)</f>
        <v>2901</v>
      </c>
    </row>
    <row r="33" spans="1:6" ht="12" thickBot="1" x14ac:dyDescent="0.25">
      <c r="A33" s="99"/>
      <c r="B33" s="117"/>
      <c r="C33" s="135"/>
      <c r="D33" s="118"/>
    </row>
    <row r="34" spans="1:6" x14ac:dyDescent="0.2">
      <c r="A34" s="99"/>
      <c r="B34" s="99"/>
      <c r="C34" s="99"/>
      <c r="D34" s="99"/>
    </row>
    <row r="35" spans="1:6" ht="12" thickBot="1" x14ac:dyDescent="0.25">
      <c r="A35" s="99"/>
      <c r="B35" s="99"/>
      <c r="C35" s="99"/>
      <c r="D35" s="99"/>
    </row>
    <row r="36" spans="1:6" x14ac:dyDescent="0.2">
      <c r="A36" s="99"/>
      <c r="B36" s="105" t="s">
        <v>78</v>
      </c>
      <c r="C36" s="132"/>
      <c r="D36" s="136"/>
    </row>
    <row r="37" spans="1:6" x14ac:dyDescent="0.2">
      <c r="A37" s="99"/>
      <c r="B37" s="110" t="s">
        <v>79</v>
      </c>
      <c r="C37" s="104"/>
      <c r="D37" s="134">
        <f>IF(C10&gt;89991,10799,C10*12%)</f>
        <v>9600</v>
      </c>
    </row>
    <row r="38" spans="1:6" ht="12" thickBot="1" x14ac:dyDescent="0.25">
      <c r="A38" s="99"/>
      <c r="B38" s="117" t="s">
        <v>80</v>
      </c>
      <c r="C38" s="135"/>
      <c r="D38" s="137">
        <f>IF(C7="ja",D37,0)</f>
        <v>0</v>
      </c>
    </row>
    <row r="39" spans="1:6" x14ac:dyDescent="0.2">
      <c r="A39" s="99"/>
      <c r="B39" s="99"/>
      <c r="C39" s="99"/>
      <c r="D39" s="99"/>
    </row>
    <row r="40" spans="1:6" ht="12" thickBot="1" x14ac:dyDescent="0.25">
      <c r="A40" s="99"/>
      <c r="B40" s="99"/>
      <c r="C40" s="99"/>
      <c r="D40" s="99"/>
      <c r="E40" s="138"/>
      <c r="F40" s="138"/>
    </row>
    <row r="41" spans="1:6" x14ac:dyDescent="0.2">
      <c r="A41" s="99"/>
      <c r="B41" s="105" t="s">
        <v>81</v>
      </c>
      <c r="C41" s="132"/>
      <c r="D41" s="136"/>
      <c r="E41" s="138"/>
      <c r="F41" s="138"/>
    </row>
    <row r="42" spans="1:6" x14ac:dyDescent="0.2">
      <c r="A42" s="99"/>
      <c r="B42" s="115" t="s">
        <v>82</v>
      </c>
      <c r="C42" s="139">
        <f>C9</f>
        <v>0</v>
      </c>
      <c r="D42" s="116"/>
      <c r="E42" s="138"/>
      <c r="F42" s="140"/>
    </row>
    <row r="43" spans="1:6" x14ac:dyDescent="0.2">
      <c r="A43" s="99"/>
      <c r="B43" s="110" t="s">
        <v>51</v>
      </c>
      <c r="C43" s="141">
        <f>C10</f>
        <v>80000</v>
      </c>
      <c r="D43" s="116"/>
      <c r="E43" s="138"/>
      <c r="F43" s="138"/>
    </row>
    <row r="44" spans="1:6" x14ac:dyDescent="0.2">
      <c r="A44" s="99"/>
      <c r="B44" s="110" t="s">
        <v>83</v>
      </c>
      <c r="C44" s="141">
        <f>(H13)</f>
        <v>20610.400000000001</v>
      </c>
      <c r="D44" s="116"/>
      <c r="E44" s="138"/>
      <c r="F44" s="138"/>
    </row>
    <row r="45" spans="1:6" x14ac:dyDescent="0.2">
      <c r="A45" s="99"/>
      <c r="B45" s="110" t="s">
        <v>84</v>
      </c>
      <c r="C45" s="141"/>
      <c r="D45" s="116"/>
      <c r="E45" s="138"/>
      <c r="F45" s="138"/>
    </row>
    <row r="46" spans="1:6" ht="12" thickBot="1" x14ac:dyDescent="0.25">
      <c r="A46" s="99"/>
      <c r="B46" s="110" t="s">
        <v>85</v>
      </c>
      <c r="C46" s="141">
        <f>D38</f>
        <v>0</v>
      </c>
      <c r="D46" s="116"/>
      <c r="E46" s="138"/>
      <c r="F46" s="138"/>
    </row>
    <row r="47" spans="1:6" ht="15.75" x14ac:dyDescent="0.25">
      <c r="A47" s="99"/>
      <c r="B47" s="115"/>
      <c r="C47" s="142"/>
      <c r="D47" s="143" t="s">
        <v>86</v>
      </c>
      <c r="E47" s="144"/>
      <c r="F47" s="138"/>
    </row>
    <row r="48" spans="1:6" ht="16.5" thickBot="1" x14ac:dyDescent="0.3">
      <c r="A48" s="99"/>
      <c r="B48" s="117" t="s">
        <v>87</v>
      </c>
      <c r="C48" s="145">
        <f>C43-C44-C45-C46+C42</f>
        <v>59389.599999999999</v>
      </c>
      <c r="D48" s="146">
        <f>C48/12</f>
        <v>4949.1333333333332</v>
      </c>
      <c r="E48" s="144"/>
      <c r="F48" s="138"/>
    </row>
  </sheetData>
  <pageMargins left="0.75" right="0.75" top="1" bottom="1" header="0.5" footer="0.5"/>
  <pageSetup paperSize="9" scale="81" orientation="landscape" verticalDpi="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Berekening</vt:lpstr>
      <vt:lpstr>A-line 1</vt:lpstr>
      <vt:lpstr>B-line2</vt:lpstr>
      <vt:lpstr>C-line3</vt:lpstr>
      <vt:lpstr>D-line4</vt:lpstr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MarketBizzRecovered</dc:creator>
  <cp:lastModifiedBy>rob-marketbizz</cp:lastModifiedBy>
  <cp:lastPrinted>2016-06-09T23:14:11Z</cp:lastPrinted>
  <dcterms:created xsi:type="dcterms:W3CDTF">2010-05-31T13:30:18Z</dcterms:created>
  <dcterms:modified xsi:type="dcterms:W3CDTF">2016-06-28T22:00:53Z</dcterms:modified>
</cp:coreProperties>
</file>